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790"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<sst xmlns="http://schemas.openxmlformats.org/spreadsheetml/2006/main" count="4117" uniqueCount="3093">
  <si>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</si>
  <si>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</si>
  <si>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</si>
  <si>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</si>
  <si>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</si>
  <si>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</si>
  <si>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</si>
  <si>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</si>
  <si>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</si>
  <si>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</si>
  <si>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</si>
  <si>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</si>
  <si>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</si>
  <si>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</si>
  <si>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</si>
  <si>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</si>
  <si>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</si>
  <si>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</si>
  <si>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</si>
  <si>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</si>
  <si>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</si>
  <si>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</si>
  <si>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</si>
  <si>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</si>
  <si>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</si>
  <si>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</si>
  <si>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</si>
  <si>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</si>
  <si>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</si>
  <si>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</si>
  <si>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</si>
  <si>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</si>
  <si>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</si>
  <si>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</si>
  <si>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</si>
  <si>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</si>
  <si>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</si>
  <si>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</si>
  <si>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</si>
  <si>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</si>
  <si>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</si>
  <si>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</si>
  <si>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</si>
  <si>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</si>
  <si>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</si>
  <si>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</si>
  <si>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</si>
  <si>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</si>
  <si>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</si>
  <si>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</si>
  <si>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</si>
  <si>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</si>
  <si>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</si>
  <si>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</si>
  <si>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</si>
  <si>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</si>
  <si>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</si>
  <si>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</si>
  <si>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</si>
  <si>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</si>
  <si>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</si>
  <si>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</si>
  <si>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</si>
  <si>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</si>
  <si>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</si>
  <si>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</si>
  <si>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</si>
  <si>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</si>
  <si>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</si>
  <si>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</si>
  <si>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</si>
  <si>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</si>
  <si>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</si>
  <si>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</si>
  <si>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</si>
  <si>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</si>
  <si>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</si>
  <si>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</si>
  <si>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</si>
  <si>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</si>
  <si>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</si>
  <si>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</si>
  <si>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</si>
  <si>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</si>
  <si>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</si>
  <si>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</si>
  <si>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</si>
  <si>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</si>
  <si>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</si>
  <si>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</si>
  <si>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</si>
  <si>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</si>
  <si>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</si>
  <si>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</si>
  <si>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</si>
  <si>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</si>
  <si>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</si>
  <si>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</si>
  <si>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</si>
  <si>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</si>
  <si>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</si>
  <si>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</si>
  <si>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</si>
  <si>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</si>
  <si>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</si>
  <si>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</si>
  <si>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</si>
  <si>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</si>
  <si>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</si>
  <si>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</si>
  <si>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</si>
  <si>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</si>
  <si>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</si>
  <si>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</si>
  <si>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</si>
  <si>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</si>
  <si>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</si>
  <si>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</si>
  <si>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</si>
  <si>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</si>
  <si>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</si>
  <si>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</si>
  <si>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</si>
  <si>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</si>
  <si>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</si>
  <si>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</si>
  <si>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</si>
  <si>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</si>
  <si>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</si>
  <si>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</si>
  <si>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</si>
  <si>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</si>
  <si>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</si>
  <si>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</si>
  <si>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</si>
  <si>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</si>
  <si>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</si>
  <si>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</si>
  <si>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</si>
  <si>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</si>
  <si>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</si>
  <si>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</si>
  <si>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</si>
  <si>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</si>
  <si>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</si>
  <si>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</si>
  <si>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</si>
  <si>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</si>
  <si>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</si>
  <si>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</si>
  <si>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</si>
  <si>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</si>
  <si>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</si>
  <si>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</si>
  <si>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</si>
  <si>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</si>
  <si>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</si>
  <si>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</si>
  <si>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</si>
  <si>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</si>
  <si>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</si>
  <si>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</si>
  <si>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</si>
  <si>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</si>
  <si>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</si>
  <si>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</si>
  <si>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</si>
  <si>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</si>
  <si>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</si>
  <si>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</si>
  <si>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</si>
  <si>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</si>
  <si>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</si>
  <si>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</si>
  <si>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</si>
  <si>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</si>
  <si>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</si>
  <si>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</si>
  <si>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</si>
  <si>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</si>
  <si>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</si>
  <si>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</si>
  <si>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</si>
  <si>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</si>
  <si>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</si>
  <si>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</si>
  <si>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</si>
  <si>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</si>
  <si>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</si>
  <si>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</si>
  <si>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</si>
  <si>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</si>
  <si>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</si>
  <si>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</si>
  <si>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</si>
  <si>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</si>
  <si>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</si>
  <si>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</si>
  <si>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</si>
  <si>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</si>
  <si>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</si>
  <si>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</si>
  <si>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</si>
  <si>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</si>
  <si>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</si>
  <si>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</si>
  <si>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</si>
  <si>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</si>
  <si>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</si>
  <si>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</si>
  <si>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</si>
  <si>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</si>
  <si>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</si>
  <si>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</si>
  <si>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</si>
  <si>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</si>
  <si>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</si>
  <si>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</si>
  <si>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</si>
  <si>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</si>
  <si>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</si>
  <si>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</si>
  <si>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</si>
  <si>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</si>
  <si>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</si>
  <si>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</si>
  <si>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</si>
  <si>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</si>
  <si>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</si>
  <si>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</si>
  <si>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</si>
  <si>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</si>
  <si>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</si>
  <si>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</si>
  <si>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</si>
  <si>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</si>
  <si>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</si>
  <si>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</si>
  <si>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</si>
  <si>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</si>
  <si>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</si>
  <si>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</si>
  <si>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</si>
  <si>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</si>
  <si>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</si>
  <si>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</si>
  <si>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</si>
  <si>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</si>
  <si>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</si>
  <si>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</si>
  <si>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</si>
  <si>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</si>
  <si>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</si>
  <si>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</si>
  <si>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</si>
  <si>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</si>
  <si>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</si>
  <si>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</si>
  <si>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</si>
  <si>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</si>
  <si>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</si>
  <si>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</si>
  <si>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</si>
  <si>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</si>
  <si>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</si>
  <si>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</si>
  <si>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</si>
  <si>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</si>
  <si>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</si>
  <si>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</si>
  <si>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</si>
  <si>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</si>
  <si>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</si>
  <si>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</si>
  <si>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</si>
  <si>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</si>
  <si>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</si>
  <si>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</si>
  <si>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</si>
  <si>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</si>
  <si>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</si>
  <si>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</si>
  <si>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</si>
  <si>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</si>
  <si>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</si>
  <si>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</si>
  <si>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</si>
  <si>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</si>
  <si>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</si>
  <si>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</si>
  <si>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</si>
  <si>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</si>
  <si>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</si>
  <si>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</si>
  <si>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</si>
  <si>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</si>
  <si>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</si>
  <si>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</si>
  <si>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</si>
  <si>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</si>
  <si>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</si>
  <si>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</si>
  <si>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</si>
  <si>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</si>
  <si>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</si>
  <si>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</si>
  <si>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</si>
  <si>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</si>
  <si>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</si>
  <si>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</si>
  <si>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</si>
  <si>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</si>
  <si>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</si>
  <si>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</si>
  <si>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</si>
  <si>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</si>
  <si>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</si>
  <si>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</si>
  <si>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</si>
  <si>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</si>
  <si>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</si>
  <si>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</si>
  <si>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</si>
  <si>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</si>
  <si>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</si>
  <si>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</si>
  <si>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</si>
  <si>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</si>
  <si>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</si>
  <si>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</si>
  <si>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</si>
  <si>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</si>
  <si>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</si>
  <si>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</si>
  <si>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</si>
  <si>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</si>
  <si>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</si>
  <si>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</si>
  <si>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</si>
  <si>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</si>
  <si>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</si>
  <si>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</si>
  <si>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</si>
  <si>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</si>
  <si>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</si>
  <si>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</si>
  <si>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</si>
  <si>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</si>
  <si>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</si>
  <si>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</si>
  <si>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</si>
  <si>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</si>
  <si>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</si>
  <si>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</si>
  <si>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</si>
  <si>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</si>
  <si>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</si>
  <si>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</si>
  <si>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</si>
  <si>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</si>
  <si>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</si>
  <si>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</si>
  <si>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</si>
  <si>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</si>
  <si>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</si>
  <si>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</si>
  <si>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</si>
  <si>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</si>
  <si>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</si>
  <si>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</si>
  <si>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</si>
  <si>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</si>
  <si>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</si>
  <si>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</si>
  <si>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</si>
  <si>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</si>
  <si>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</si>
  <si>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</si>
  <si>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</si>
  <si>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</si>
  <si>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</si>
  <si>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</si>
  <si>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</si>
  <si>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</si>
  <si>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</si>
  <si>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</si>
  <si>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</si>
  <si>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</si>
  <si>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</si>
  <si>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</si>
  <si>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</si>
  <si>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</si>
  <si>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</si>
  <si>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</si>
  <si>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</si>
  <si>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</si>
  <si>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</si>
  <si>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</si>
  <si>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</si>
  <si>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</si>
  <si>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</si>
  <si>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</si>
  <si>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</si>
  <si>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</si>
  <si>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</si>
  <si>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</si>
  <si>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</si>
  <si>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</si>
  <si>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</si>
  <si>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</si>
  <si>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</si>
  <si>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</si>
  <si>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</si>
  <si>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</si>
  <si>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</si>
  <si>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</si>
  <si>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</si>
  <si>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</si>
  <si>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</si>
  <si>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</si>
  <si>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</si>
  <si>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</si>
  <si>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</si>
  <si>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</si>
  <si>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</si>
  <si>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</si>
  <si>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</si>
  <si>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</si>
  <si>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</si>
  <si>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</si>
  <si>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</si>
  <si>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</si>
  <si>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</si>
  <si>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</si>
  <si>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</si>
  <si>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</si>
  <si>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</si>
  <si>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</si>
  <si>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</si>
  <si>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</si>
  <si>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</si>
  <si>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</si>
  <si>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</si>
  <si>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</si>
  <si>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</si>
  <si>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</si>
  <si>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</si>
  <si>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</si>
  <si>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</si>
  <si>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</si>
  <si>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</si>
  <si>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</si>
  <si>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</si>
  <si>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</si>
  <si>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</si>
  <si>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</si>
  <si>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</si>
  <si>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</si>
  <si>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</si>
  <si>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</si>
  <si>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</si>
  <si>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</si>
  <si>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</si>
  <si>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</si>
  <si>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</si>
  <si>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</si>
  <si>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</si>
  <si>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</si>
  <si>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</si>
  <si>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</si>
  <si>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</si>
  <si>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</si>
  <si>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</si>
  <si>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</si>
  <si>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</si>
  <si>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</si>
  <si>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</si>
  <si>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</si>
  <si>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</si>
  <si>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</si>
  <si>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</si>
  <si>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</si>
  <si>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</si>
  <si>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</si>
  <si>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</si>
  <si>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</si>
  <si>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</si>
  <si>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</si>
  <si>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</si>
  <si>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</si>
  <si>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</si>
  <si>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</si>
  <si>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</si>
  <si>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</si>
  <si>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</si>
  <si>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</si>
  <si>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</si>
  <si>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</si>
  <si>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</si>
  <si>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</si>
  <si>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</si>
  <si>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</si>
  <si>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</si>
  <si>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</si>
  <si>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</si>
  <si>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</si>
  <si>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</si>
  <si>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</si>
  <si>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</si>
  <si>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</si>
  <si>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</si>
  <si>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</si>
  <si>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</si>
  <si>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</si>
  <si>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</si>
  <si>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</si>
  <si>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</si>
  <si>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</si>
  <si>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</si>
  <si>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</si>
  <si>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</si>
  <si>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</si>
  <si>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</si>
  <si>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</si>
  <si>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</si>
  <si>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</si>
  <si>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</si>
  <si>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</si>
  <si>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</si>
  <si>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</si>
  <si>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</si>
  <si>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</si>
  <si>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</si>
  <si>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</si>
  <si>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</si>
  <si>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</si>
  <si>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</si>
  <si>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</si>
  <si>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</si>
  <si>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</si>
  <si>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</si>
  <si>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</si>
  <si>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</si>
  <si>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</si>
  <si>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</si>
  <si>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</si>
  <si>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</si>
  <si>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</si>
  <si>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</si>
  <si>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</si>
  <si>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</si>
  <si>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</si>
  <si>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</si>
  <si>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</si>
  <si>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</si>
  <si>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</si>
  <si>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</si>
  <si>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</si>
  <si>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</si>
  <si>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</si>
  <si>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</si>
  <si>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</si>
  <si>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</si>
  <si>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</si>
  <si>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</si>
  <si>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</si>
  <si>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</si>
  <si>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</si>
  <si>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</si>
  <si>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</si>
  <si>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</si>
  <si>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</si>
  <si>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</si>
  <si>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</si>
  <si>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</si>
  <si>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</si>
  <si>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</si>
  <si>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</si>
  <si>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</si>
  <si>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</si>
  <si>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</si>
  <si>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</si>
  <si>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</si>
  <si>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</si>
  <si>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</si>
  <si>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</si>
  <si>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</si>
  <si>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</si>
  <si>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</si>
  <si>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</si>
  <si>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</si>
  <si>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</si>
  <si>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</si>
  <si>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</si>
  <si>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</si>
  <si>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</si>
  <si>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</si>
  <si>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</si>
  <si>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</si>
  <si>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</si>
  <si>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</si>
  <si>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</si>
  <si>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</si>
  <si>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</si>
  <si>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</si>
  <si>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</si>
  <si>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</si>
  <si>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</si>
  <si>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</si>
  <si>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</si>
  <si>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</si>
  <si>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</si>
  <si>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</si>
  <si>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</si>
  <si>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</si>
  <si>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</si>
  <si>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</si>
  <si>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</si>
  <si>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</si>
  <si>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</si>
  <si>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</si>
  <si>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</si>
  <si>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</si>
  <si>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</si>
  <si>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</si>
  <si>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</si>
  <si>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</si>
  <si>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</si>
  <si>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</si>
  <si>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</si>
  <si>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</si>
  <si>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</si>
  <si>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</si>
  <si>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</si>
  <si>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</si>
  <si>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</si>
  <si>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</si>
  <si>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</si>
  <si>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</si>
  <si>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</si>
  <si>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</si>
  <si>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</si>
  <si>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</si>
  <si>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</si>
  <si>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</si>
  <si>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</si>
  <si>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</si>
  <si>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</si>
  <si>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</si>
  <si>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</si>
  <si>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</si>
  <si>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</si>
  <si>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</si>
  <si>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</si>
  <si>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</si>
  <si>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</si>
  <si>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</si>
  <si>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</si>
  <si>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</si>
  <si>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</si>
  <si>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</si>
  <si>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</si>
  <si>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</si>
  <si>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</si>
  <si>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</si>
  <si>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</si>
  <si>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</si>
  <si>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</si>
  <si>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</si>
  <si>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</si>
  <si>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</si>
  <si>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</si>
  <si>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</si>
  <si>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</si>
  <si>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</si>
  <si>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</si>
  <si>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</si>
  <si>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</si>
  <si>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</si>
  <si>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</si>
  <si>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</si>
  <si>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</si>
  <si>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</si>
  <si>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</si>
  <si>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</si>
  <si>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</si>
  <si>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</si>
  <si>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</si>
  <si>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</si>
  <si>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</si>
  <si>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</si>
  <si>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</si>
  <si>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</si>
  <si>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</si>
  <si>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</si>
  <si>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</si>
  <si>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</si>
  <si>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</si>
  <si>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</si>
  <si>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</si>
  <si>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</si>
  <si>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</si>
  <si>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</si>
  <si>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</si>
  <si>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</si>
  <si>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</si>
  <si>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</si>
  <si>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</si>
  <si>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</si>
  <si>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</si>
  <si>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</si>
  <si>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</si>
  <si>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</si>
  <si>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</si>
  <si>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</si>
  <si>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</si>
  <si>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</si>
  <si>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</si>
  <si>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</si>
  <si>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</si>
  <si>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</si>
  <si>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</si>
  <si>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</si>
  <si>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</si>
  <si>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</si>
  <si>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</si>
  <si>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</si>
  <si>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</si>
  <si>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</si>
  <si>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</si>
  <si>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</si>
  <si>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</si>
  <si>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</si>
  <si>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</si>
  <si>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</si>
  <si>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</si>
  <si>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</si>
  <si>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</si>
  <si>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</si>
  <si>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</si>
  <si>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</si>
  <si>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</si>
  <si>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</si>
  <si>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</si>
  <si>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</si>
  <si>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</si>
  <si>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</si>
  <si>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</si>
  <si>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</si>
  <si>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</si>
  <si>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</si>
  <si>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</si>
  <si>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</si>
  <si>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</si>
  <si>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</si>
  <si>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</si>
  <si>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</si>
  <si>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</si>
  <si>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</si>
  <si>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</si>
  <si>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</si>
  <si>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</si>
  <si>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</si>
  <si>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</si>
  <si>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</si>
  <si>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</si>
  <si>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</si>
  <si>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</si>
  <si>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</si>
  <si>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</si>
  <si>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</si>
  <si>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</si>
  <si>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</si>
  <si>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</si>
  <si>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</si>
  <si>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</si>
  <si>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</si>
  <si>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</si>
  <si>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</si>
  <si>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</si>
  <si>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</si>
  <si>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</si>
  <si>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</si>
  <si>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</si>
  <si>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</si>
  <si>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</si>
  <si>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</si>
  <si>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</si>
  <si>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</si>
  <si>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</si>
  <si>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</si>
  <si>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</si>
  <si>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</si>
  <si>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</si>
  <si>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</si>
  <si>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</si>
  <si>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</si>
  <si>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</si>
  <si>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</si>
  <si>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</si>
  <si>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</si>
  <si>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</si>
  <si>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</si>
  <si>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</si>
  <si>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</si>
  <si>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</si>
  <si>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</si>
  <si>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</si>
  <si>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</si>
  <si>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</si>
  <si>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</si>
  <si>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</si>
  <si>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</si>
  <si>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</si>
  <si>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</si>
  <si>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</si>
  <si>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</si>
  <si>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</si>
  <si>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</si>
  <si>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</si>
  <si>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</si>
  <si>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</si>
  <si>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</si>
  <si>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</si>
  <si>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</si>
  <si>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</si>
  <si>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</si>
  <si>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</si>
  <si>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</si>
  <si>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</si>
  <si>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</si>
  <si>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</si>
  <si>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</si>
  <si>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</si>
  <si>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</si>
  <si>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</si>
  <si>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</si>
  <si>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</si>
  <si>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</si>
  <si>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</si>
  <si>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</si>
  <si>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</si>
  <si>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</si>
  <si>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</si>
  <si>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</si>
  <si>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</si>
  <si>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</si>
  <si>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</si>
  <si>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</si>
  <si>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</si>
  <si>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</si>
  <si>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</si>
  <si>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</si>
  <si>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</si>
  <si>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</si>
  <si>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</si>
  <si>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</si>
  <si>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</si>
  <si>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</si>
  <si>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</si>
  <si>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</si>
  <si>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</si>
  <si>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</si>
  <si>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</si>
  <si>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</si>
  <si>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</si>
  <si>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</si>
  <si>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</si>
  <si>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</si>
  <si>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</si>
  <si>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</si>
  <si>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</si>
  <si>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</si>
  <si>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</si>
  <si>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</si>
  <si>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</si>
  <si>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</si>
  <si>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</si>
  <si>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</si>
  <si>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</si>
  <si>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</si>
  <si>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</si>
  <si>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</si>
  <si>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</si>
  <si>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</si>
  <si>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</si>
  <si>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</si>
  <si>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</si>
  <si>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</si>
  <si>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</si>
  <si>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</si>
  <si>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</si>
  <si>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</si>
  <si>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</si>
  <si>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</si>
  <si>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</si>
  <si>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</si>
  <si>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</si>
  <si>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</si>
  <si>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</si>
  <si>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</si>
  <si>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</si>
  <si>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</si>
  <si>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</si>
  <si>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</si>
  <si>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</si>
  <si>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</si>
  <si>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</si>
  <si>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</si>
  <si>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</si>
  <si>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</si>
  <si>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</si>
  <si>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</si>
  <si>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</si>
  <si>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</si>
  <si>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</si>
  <si>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</si>
  <si>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</si>
  <si>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</si>
  <si>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</si>
  <si>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</si>
  <si>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</si>
  <si>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</si>
  <si>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</si>
  <si>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</si>
  <si>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</si>
  <si>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</si>
  <si>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</si>
  <si>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</si>
  <si>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</si>
  <si>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</si>
  <si>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</si>
  <si>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</si>
  <si>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</si>
  <si>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</si>
  <si>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</si>
  <si>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</si>
  <si>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</si>
  <si>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</si>
  <si>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</si>
  <si>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</si>
  <si>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</si>
  <si>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</si>
  <si>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</si>
  <si>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</si>
  <si>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</si>
  <si>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</si>
  <si>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</si>
  <si>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</si>
  <si>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</si>
  <si>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</si>
  <si>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</si>
  <si>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</si>
  <si>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</si>
  <si>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</si>
  <si>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</si>
  <si>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</si>
  <si>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</si>
  <si>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</si>
  <si>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</si>
  <si>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</si>
  <si>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</si>
  <si>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</si>
  <si>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</si>
  <si>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</si>
  <si>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</si>
  <si>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</si>
  <si>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</si>
  <si>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</si>
  <si>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</si>
  <si>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</si>
  <si>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</si>
  <si>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</si>
  <si>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</si>
  <si>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</si>
  <si>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</si>
  <si>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</si>
  <si>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</si>
  <si>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</si>
  <si>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</si>
  <si>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</si>
  <si>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</si>
  <si>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</si>
  <si>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</si>
  <si>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</si>
  <si>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</si>
  <si>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</si>
  <si>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</si>
  <si>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</si>
  <si>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</si>
  <si>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</si>
  <si>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</si>
  <si>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</si>
  <si>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</si>
  <si>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</si>
  <si>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</si>
  <si>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</si>
  <si>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</si>
  <si>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</si>
  <si>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</si>
  <si>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</si>
  <si>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</si>
  <si>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</si>
  <si>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</si>
  <si>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</si>
  <si>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</si>
  <si>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</si>
  <si>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</si>
  <si>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</si>
  <si>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</si>
  <si>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</si>
  <si>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</si>
  <si>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</si>
  <si>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</si>
  <si>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</si>
  <si>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</si>
  <si>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</si>
  <si>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</si>
  <si>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</si>
  <si>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</si>
  <si>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</si>
  <si>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</si>
  <si>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</si>
  <si>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</si>
  <si>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</si>
  <si>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</si>
  <si>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</si>
  <si>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</si>
  <si>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</si>
  <si>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</si>
  <si>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</si>
  <si>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</si>
  <si>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</si>
  <si>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</si>
  <si>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</si>
  <si>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</si>
  <si>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</si>
  <si>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</si>
  <si>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</si>
  <si>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</si>
  <si>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</si>
  <si>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</si>
  <si>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</si>
  <si>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</si>
  <si>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</si>
  <si>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</si>
  <si>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</si>
  <si>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</si>
  <si>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</si>
  <si>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</si>
  <si>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</si>
  <si>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</si>
  <si>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</si>
  <si>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</si>
  <si>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</si>
  <si>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</si>
  <si>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</si>
  <si>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</si>
  <si>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</si>
  <si>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</si>
  <si>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</si>
  <si>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</si>
  <si>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</si>
  <si>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</si>
  <si>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</si>
  <si>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</si>
  <si>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</si>
  <si>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</si>
  <si>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</si>
  <si>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</si>
  <si>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</si>
  <si>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</si>
  <si>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</si>
  <si>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</si>
  <si>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</si>
  <si>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</si>
  <si>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</si>
  <si>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</si>
  <si>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</si>
  <si>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</si>
  <si>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</si>
  <si>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</si>
  <si>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</si>
  <si>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</si>
  <si>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</si>
  <si>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</si>
  <si>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</si>
  <si>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</si>
  <si>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</si>
  <si>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</si>
  <si>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</si>
  <si>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</si>
  <si>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</si>
  <si>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</si>
  <si>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</si>
  <si>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</si>
  <si>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</si>
  <si>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</si>
  <si>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</si>
  <si>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</si>
  <si>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</si>
  <si>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</si>
  <si>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</si>
  <si>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</si>
  <si>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</si>
  <si>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</si>
  <si>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</si>
  <si>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</si>
  <si>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</si>
  <si>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</si>
  <si>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</si>
  <si>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</si>
  <si>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</si>
  <si>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</si>
  <si>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</si>
  <si>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</si>
  <si>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</si>
  <si>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</si>
  <si>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</si>
  <si>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</si>
  <si>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</si>
  <si>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</si>
  <si>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</si>
  <si>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</si>
  <si>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</si>
  <si>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</si>
  <si>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</si>
  <si>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</si>
  <si>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</si>
  <si>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</si>
  <si>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</si>
  <si>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</si>
  <si>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</si>
  <si>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</si>
  <si>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</si>
  <si>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</si>
  <si>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</si>
  <si>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</si>
  <si>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</si>
  <si>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</si>
  <si>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</si>
  <si>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</si>
  <si>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</si>
  <si>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</si>
  <si>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</si>
  <si>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</si>
  <si>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</si>
  <si>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</si>
  <si>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</si>
  <si>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</si>
  <si>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</si>
  <si>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</si>
  <si>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</si>
  <si>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</si>
  <si>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</si>
  <si>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</si>
  <si>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</si>
  <si>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</si>
  <si>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</si>
  <si>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</si>
  <si>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</si>
  <si>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</si>
  <si>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</si>
  <si>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</si>
  <si>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</si>
  <si>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</si>
  <si>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</si>
  <si>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</si>
  <si>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</si>
  <si>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</si>
  <si>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</si>
  <si>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</si>
  <si>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</si>
  <si>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</si>
  <si>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</si>
  <si>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</si>
  <si>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</si>
  <si>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</si>
  <si>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</si>
  <si>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</si>
  <si>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</si>
  <si>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</si>
  <si>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</si>
  <si>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</si>
  <si>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</si>
  <si>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</si>
  <si>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</si>
  <si>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</si>
  <si>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</si>
  <si>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</si>
  <si>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</si>
  <si>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</si>
  <si>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</si>
  <si>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</si>
  <si>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</si>
  <si>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</si>
  <si>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</si>
  <si>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</si>
  <si>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</si>
  <si>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</si>
  <si>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</si>
  <si>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</si>
  <si>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</si>
  <si>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</si>
  <si>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</si>
  <si>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</si>
  <si>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</si>
  <si>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</si>
  <si>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</si>
  <si>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</si>
  <si>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</si>
  <si>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</si>
  <si>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</si>
  <si>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</si>
  <si>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</si>
  <si>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</si>
  <si>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</si>
  <si>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</si>
  <si>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</si>
  <si>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</si>
  <si>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</si>
  <si>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</si>
  <si>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</si>
  <si>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</si>
  <si>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</si>
  <si>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</si>
  <si>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</si>
  <si>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</si>
  <si>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</si>
  <si>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</si>
  <si>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</si>
  <si>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</si>
  <si>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</si>
  <si>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</si>
  <si>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</si>
  <si>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</si>
  <si>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</si>
  <si>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</si>
  <si>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</si>
  <si>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</si>
  <si>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</si>
  <si>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</si>
  <si>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</si>
  <si>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</si>
  <si>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</si>
  <si>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</si>
  <si>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</si>
  <si>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</si>
  <si>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</si>
  <si>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</si>
  <si>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</si>
  <si>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</si>
  <si>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</si>
  <si>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</si>
  <si>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</si>
  <si>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</si>
  <si>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</si>
  <si>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</si>
  <si>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</si>
  <si>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</si>
  <si>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</si>
  <si>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</si>
  <si>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</si>
  <si>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</si>
  <si>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</si>
  <si>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</si>
  <si>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</si>
  <si>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</si>
  <si>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</si>
  <si>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</si>
  <si>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</si>
  <si>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</si>
  <si>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</si>
  <si>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</si>
  <si>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</si>
  <si>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</si>
  <si>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</si>
  <si>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</si>
  <si>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</si>
  <si>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</si>
  <si>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</si>
  <si>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</si>
  <si>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</si>
  <si>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</si>
  <si>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</si>
  <si>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</si>
  <si>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</si>
  <si>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</si>
  <si>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</si>
  <si>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</si>
  <si>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</si>
  <si>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</si>
  <si>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</si>
  <si>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</si>
  <si>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</si>
  <si>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</si>
  <si>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</si>
  <si>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</si>
  <si>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</si>
  <si>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</si>
  <si>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</si>
  <si>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</si>
  <si>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</si>
  <si>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</si>
  <si>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</si>
  <si>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</si>
  <si>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</si>
  <si>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</si>
  <si>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</si>
  <si>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</si>
  <si>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</si>
  <si>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</si>
  <si>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</si>
  <si>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</si>
  <si>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</si>
  <si>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</si>
  <si>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</si>
  <si>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</si>
  <si>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</si>
  <si>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</si>
  <si>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</si>
  <si>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</si>
  <si>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</si>
  <si>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</si>
  <si>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</si>
  <si>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</si>
  <si>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</si>
  <si>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</si>
  <si>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</si>
  <si>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</si>
  <si>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</si>
  <si>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</si>
  <si>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</si>
  <si>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</si>
  <si>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</si>
  <si>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</si>
  <si>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</si>
  <si>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</si>
  <si>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</si>
  <si>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</si>
  <si>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</si>
  <si>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</si>
  <si>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</si>
  <si>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</si>
  <si>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</si>
  <si>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</si>
  <si>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</si>
  <si>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</si>
  <si>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</si>
  <si>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</si>
  <si>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</si>
  <si>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</si>
  <si>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</si>
  <si>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</si>
  <si>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</si>
  <si>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</si>
  <si>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</si>
  <si>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</si>
  <si>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</si>
  <si>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</si>
  <si>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</si>
  <si>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</si>
  <si>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</si>
  <si>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</si>
  <si>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</si>
  <si>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</si>
  <si>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</si>
  <si>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</si>
  <si>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</si>
  <si>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</si>
  <si>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</si>
  <si>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</si>
  <si>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</si>
  <si>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</si>
  <si>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</si>
  <si>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</si>
  <si>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</si>
  <si>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</si>
  <si>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</si>
  <si>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</si>
  <si>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</si>
  <si>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</si>
  <si>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</si>
  <si>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</si>
  <si>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</si>
  <si>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</si>
  <si>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</si>
  <si>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</si>
  <si>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</si>
  <si>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</si>
  <si>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</si>
  <si>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</si>
  <si>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</si>
  <si>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</si>
  <si>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</si>
  <si>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</si>
  <si>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</si>
  <si>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</si>
  <si>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</si>
  <si>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</si>
  <si>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</si>
  <si>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</si>
  <si>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</si>
  <si>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</si>
  <si>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</si>
  <si>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</si>
  <si>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</si>
  <si>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</si>
  <si>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</si>
  <si>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</si>
  <si>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</si>
  <si>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</si>
  <si>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</si>
  <si>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</si>
  <si>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</si>
  <si>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</si>
  <si>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</si>
  <si>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</si>
  <si>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</si>
  <si>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</si>
  <si>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</si>
  <si>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</si>
  <si>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</si>
  <si>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</si>
  <si>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</si>
  <si>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</si>
  <si>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</si>
  <si>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</si>
  <si>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</si>
  <si>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</si>
  <si>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</si>
  <si>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</si>
  <si>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</si>
  <si>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</si>
  <si>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</si>
  <si>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</si>
  <si>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</si>
  <si>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</si>
  <si>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</si>
  <si>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</si>
  <si>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</si>
  <si>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</si>
  <si>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</si>
  <si>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</si>
  <si>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</si>
  <si>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</si>
  <si>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</si>
  <si>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</si>
  <si>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</si>
  <si>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</si>
  <si>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</si>
  <si>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</si>
  <si>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</si>
  <si>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</si>
  <si>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</si>
  <si>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</si>
  <si>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</si>
  <si>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</si>
  <si>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</si>
  <si>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</si>
  <si>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</si>
  <si>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</si>
  <si>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</si>
  <si>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</si>
  <si>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</si>
  <si>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</si>
  <si>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</si>
  <si>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</si>
  <si>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</si>
  <si>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</si>
  <si>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</si>
  <si>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</si>
  <si>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</si>
  <si>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</si>
  <si>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</si>
  <si>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</si>
  <si>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</si>
  <si>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</si>
  <si>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</si>
  <si>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</si>
  <si>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</si>
  <si>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</si>
  <si>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</si>
  <si>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</si>
  <si>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</si>
  <si>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</si>
  <si>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</si>
  <si>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</si>
  <si>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</si>
  <si>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</si>
  <si>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</si>
  <si>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</si>
  <si>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</si>
  <si>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</si>
  <si>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</si>
  <si>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</si>
  <si>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</si>
  <si>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</si>
  <si>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</si>
  <si>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</si>
  <si>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</si>
  <si>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</si>
  <si>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</si>
  <si>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</si>
  <si>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</si>
  <si>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</si>
  <si>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</si>
  <si>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</si>
  <si>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</si>
  <si>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</si>
  <si>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</si>
  <si>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</si>
  <si>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</si>
  <si>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</si>
  <si>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</si>
  <si>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</si>
  <si>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</si>
  <si>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</si>
  <si>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</si>
  <si>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</si>
  <si>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</si>
  <si>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</si>
  <si>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</si>
  <si>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</si>
  <si>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</si>
  <si>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</si>
  <si>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</si>
  <si>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</si>
  <si>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</si>
  <si>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</si>
  <si>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</si>
  <si>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</si>
  <si>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</si>
  <si>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</si>
  <si>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</si>
  <si>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</si>
  <si>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</si>
  <si>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</si>
  <si>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</si>
  <si>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</si>
  <si>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</si>
  <si>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</si>
  <si>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</si>
  <si>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</si>
  <si>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</si>
  <si>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</si>
  <si>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</si>
  <si>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</si>
  <si>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</si>
  <si>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</si>
  <si>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</si>
  <si>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</si>
  <si>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</si>
  <si>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</si>
  <si>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</si>
  <si>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</si>
  <si>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</si>
  <si>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</si>
  <si>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</si>
  <si>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</si>
  <si>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</si>
  <si>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</si>
  <si>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</si>
  <si>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</si>
  <si>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</si>
  <si>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</si>
  <si>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</si>
  <si>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</si>
  <si>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</si>
  <si>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</si>
  <si>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</si>
  <si>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</si>
  <si>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</si>
  <si>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</si>
  <si>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</si>
  <si>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</si>
  <si>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</si>
  <si>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</si>
  <si>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</si>
  <si>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</si>
  <si>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</si>
  <si>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</si>
  <si>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</si>
  <si>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</si>
  <si>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</si>
  <si>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</si>
  <si>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</si>
  <si>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</si>
  <si>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</si>
  <si>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</si>
  <si>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</si>
  <si>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</si>
  <si>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</si>
  <si>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</si>
  <si>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</si>
  <si>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</si>
  <si>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</si>
  <si>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</si>
  <si>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</si>
  <si>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</si>
  <si>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</si>
  <si>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</si>
  <si>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</si>
  <si>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</si>
  <si>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</si>
  <si>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</si>
  <si>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</si>
  <si>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</si>
  <si>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</si>
  <si>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</si>
  <si>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</si>
  <si>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</si>
  <si>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</si>
  <si>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</si>
  <si>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</si>
  <si>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</si>
  <si>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</si>
  <si>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</si>
  <si>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</si>
  <si>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</si>
  <si>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</si>
  <si>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</si>
  <si>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</si>
  <si>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</si>
  <si>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</si>
  <si>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</si>
  <si>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</si>
  <si>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</si>
  <si>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</si>
  <si>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</si>
  <si>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</si>
  <si>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</si>
  <si>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</si>
  <si>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</si>
  <si>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</si>
  <si>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</si>
  <si>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</si>
  <si>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</si>
  <si>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</si>
  <si>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</si>
  <si>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</si>
  <si>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</si>
  <si>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</si>
  <si>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</si>
  <si>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</si>
  <si>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</si>
  <si>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</si>
  <si>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</si>
  <si>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</si>
  <si>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</si>
  <si>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</si>
  <si>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</si>
  <si>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</si>
  <si>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</si>
  <si>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</si>
  <si>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</si>
  <si>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</si>
  <si>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</si>
  <si>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</si>
  <si>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</si>
  <si>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</si>
  <si>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</si>
  <si>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</si>
  <si>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</si>
  <si>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</si>
  <si>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</si>
  <si>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</si>
  <si>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</si>
  <si>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</si>
  <si>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</si>
  <si>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</si>
  <si>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</si>
  <si>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</si>
  <si>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</si>
  <si>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</si>
  <si>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</si>
  <si>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</si>
  <si>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</si>
  <si>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</si>
  <si>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</si>
  <si>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</si>
  <si>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</si>
  <si>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</si>
  <si>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</si>
  <si>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</si>
  <si>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</si>
  <si>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</si>
  <si>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</si>
  <si>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</si>
  <si>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</si>
  <si>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</si>
  <si>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</si>
  <si>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</si>
  <si>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</si>
  <si>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</si>
  <si>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</si>
  <si>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</si>
  <si>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</si>
  <si>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</si>
  <si>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</si>
  <si>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</si>
  <si>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</si>
  <si>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</si>
  <si>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</si>
  <si>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</si>
  <si>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</si>
  <si>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</si>
  <si>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</si>
  <si>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</si>
  <si>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</si>
  <si>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</si>
  <si>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</si>
  <si>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</si>
  <si>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</si>
  <si>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</si>
  <si>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</si>
  <si>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</si>
  <si>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</si>
  <si>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</si>
  <si>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</si>
  <si>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</si>
  <si>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</si>
  <si>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</si>
  <si>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</si>
  <si>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</si>
  <si>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</si>
  <si>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</si>
  <si>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</si>
  <si>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</si>
  <si>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</si>
  <si>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</si>
  <si>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</si>
  <si>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</si>
  <si>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</si>
  <si>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</si>
  <si>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</si>
  <si>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</si>
  <si>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</si>
  <si>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</si>
  <si>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</si>
  <si>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</si>
  <si>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</si>
  <si>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</si>
  <si>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</si>
  <si>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</si>
  <si>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</si>
  <si>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</si>
  <si>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</si>
  <si>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</si>
  <si>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</si>
  <si>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</si>
  <si>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</si>
  <si>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</si>
  <si>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</si>
  <si>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</si>
  <si>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</si>
  <si>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</si>
  <si>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</si>
  <si>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</si>
  <si>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</si>
  <si>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</si>
  <si>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</si>
  <si>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</si>
  <si>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</si>
  <si>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</si>
  <si>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</si>
  <si>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</si>
  <si>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</si>
  <si>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</si>
  <si>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</si>
  <si>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</si>
  <si>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</si>
  <si>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</si>
  <si>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</si>
  <si>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</si>
  <si>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</si>
  <si>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</si>
  <si>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</si>
  <si>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</si>
  <si>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</si>
  <si>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</si>
  <si>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</si>
  <si>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</si>
  <si>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</si>
  <si>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</si>
  <si>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</si>
  <si>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</si>
  <si>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</si>
  <si>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</si>
  <si>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</si>
  <si>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</si>
  <si>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</si>
  <si>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</si>
  <si>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</si>
  <si>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</si>
  <si>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</si>
  <si>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</si>
  <si>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</si>
  <si>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</si>
  <si>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</si>
  <si>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</si>
  <si>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</si>
  <si>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</si>
  <si>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</si>
  <si>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</si>
  <si>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</si>
  <si>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</si>
  <si>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</si>
  <si>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</si>
  <si>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</si>
  <si>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</si>
  <si>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</si>
  <si>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</si>
  <si>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</si>
  <si>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</si>
  <si>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</si>
  <si>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</si>
  <si>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</si>
  <si>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</si>
  <si>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</si>
  <si>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</si>
  <si>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</si>
  <si>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</si>
  <si>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</si>
  <si>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</si>
  <si>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</si>
  <si>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</si>
  <si>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</si>
  <si>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</si>
  <si>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</si>
  <si>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</si>
  <si>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</si>
  <si>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</si>
  <si>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</si>
  <si>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</si>
  <si>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</si>
  <si>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</si>
  <si>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</si>
  <si>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</si>
  <si>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</si>
  <si>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</si>
  <si>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</si>
  <si>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</si>
  <si>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</si>
  <si>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</si>
  <si>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</si>
  <si>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</si>
  <si>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</si>
  <si>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</si>
  <si>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</si>
  <si>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</si>
  <si>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</si>
  <si>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</si>
  <si>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</si>
  <si>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</si>
  <si>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</si>
  <si>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</si>
  <si>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</si>
  <si>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</si>
  <si>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</si>
  <si>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</si>
  <si>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</si>
  <si>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</si>
  <si>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</si>
  <si>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</si>
  <si>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</si>
  <si>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</si>
  <si>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</si>
  <si>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</si>
  <si>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</si>
  <si>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</si>
  <si>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</si>
  <si>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</si>
  <si>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</si>
  <si>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</si>
  <si>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</si>
  <si>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</si>
  <si>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</si>
  <si>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</si>
  <si>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</si>
  <si>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</si>
  <si>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</si>
  <si>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</si>
  <si>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</si>
  <si>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</si>
  <si>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</si>
  <si>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</si>
  <si>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</si>
  <si>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</si>
  <si>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</si>
  <si>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</si>
  <si>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</si>
  <si>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</si>
  <si>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</si>
  <si>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</si>
  <si>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</si>
  <si>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</si>
  <si>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</si>
  <si>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</si>
  <si>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</si>
  <si>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</si>
  <si>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</si>
  <si>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</si>
  <si>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</si>
  <si>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</si>
  <si>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</si>
  <si>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</si>
  <si>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</si>
  <si>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</si>
  <si>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</si>
  <si>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</si>
  <si>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</si>
  <si>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</si>
  <si>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</si>
  <si>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</si>
  <si>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</si>
  <si>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</si>
  <si>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</si>
  <si>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</si>
  <si>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</si>
  <si>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</si>
  <si>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</si>
  <si>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</si>
  <si>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</si>
  <si>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</si>
  <si>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</si>
  <si>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</si>
  <si>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</si>
  <si>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</si>
  <si>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</si>
  <si>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</si>
  <si>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</si>
  <si>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</si>
  <si>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</si>
  <si>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</si>
  <si>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</si>
  <si>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</si>
  <si>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</si>
  <si>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</si>
  <si>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</si>
  <si>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</si>
  <si>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</si>
  <si>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</si>
  <si>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</si>
  <si>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</si>
  <si>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</si>
  <si>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</si>
  <si>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</si>
  <si>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</si>
  <si>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</si>
  <si>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</si>
  <si>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</si>
  <si>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</si>
  <si>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</si>
  <si>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</si>
  <si>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</si>
  <si>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</si>
  <si>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</si>
  <si>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</si>
  <si>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</si>
  <si>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</si>
  <si>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</si>
  <si>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</si>
  <si>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</si>
  <si>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</si>
  <si>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</si>
  <si>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</si>
  <si>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</si>
  <si>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</si>
  <si>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</si>
  <si>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</si>
  <si>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</si>
  <si>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</si>
  <si>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</si>
  <si>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</si>
  <si>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</si>
  <si>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</si>
  <si>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</si>
  <si>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</si>
  <si>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</si>
  <si>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</si>
  <si>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</si>
  <si>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</si>
  <si>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</si>
  <si>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</si>
  <si>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</si>
  <si>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</si>
  <si>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</si>
  <si>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</si>
  <si>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</si>
  <si>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</si>
  <si>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</si>
  <si>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</si>
  <si>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</si>
  <si>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</si>
  <si>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</si>
  <si>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</si>
  <si>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</si>
  <si>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</si>
  <si>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</si>
  <si>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</si>
  <si>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</si>
  <si>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</si>
  <si>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</si>
  <si>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</si>
  <si>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</si>
  <si>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</si>
  <si>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</si>
  <si>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</si>
  <si>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</si>
  <si>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</si>
  <si>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</si>
  <si>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</si>
  <si>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</si>
  <si>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</si>
  <si>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</si>
  <si>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</si>
  <si>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</si>
  <si>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</si>
  <si>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</si>
  <si>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</si>
  <si>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</si>
  <si>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</si>
  <si>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</si>
  <si>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</si>
  <si>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</si>
  <si>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</si>
  <si>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</si>
  <si>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</si>
  <si>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</si>
  <si>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</si>
  <si>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</si>
  <si>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</si>
  <si>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</si>
  <si>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</si>
  <si>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</si>
  <si>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</si>
  <si>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</si>
  <si>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</si>
  <si>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</si>
  <si>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</si>
  <si>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</si>
  <si>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</si>
  <si>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</si>
  <si>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</si>
  <si>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</si>
  <si>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</si>
  <si>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</si>
  <si>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</si>
  <si>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</si>
  <si>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</si>
  <si>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</si>
  <si>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</si>
  <si>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</si>
  <si>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</si>
  <si>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</si>
  <si>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</si>
  <si>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</si>
  <si>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</si>
  <si>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</si>
  <si>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</si>
  <si>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</si>
  <si>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</si>
  <si>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</si>
  <si>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</si>
  <si>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</si>
  <si>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</si>
  <si>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</si>
  <si>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</si>
  <si>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</si>
  <si>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</si>
  <si>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</si>
  <si>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</si>
  <si>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</si>
  <si>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</si>
  <si>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</si>
  <si>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</si>
  <si>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</si>
  <si>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</si>
  <si>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</si>
  <si>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</si>
  <si>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</si>
  <si>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</si>
  <si>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</si>
  <si>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</si>
  <si>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</si>
  <si>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</si>
  <si>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</si>
  <si>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</si>
  <si>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</si>
  <si>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</si>
  <si>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</si>
  <si>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</si>
  <si>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</si>
  <si>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</si>
  <si>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</si>
  <si>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</si>
  <si>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</si>
  <si>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</si>
  <si>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</si>
  <si>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</si>
  <si>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</si>
  <si>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</si>
  <si>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</si>
  <si>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</si>
  <si>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</si>
  <si>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</si>
  <si>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</si>
  <si>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</si>
  <si>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</si>
  <si>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</si>
  <si>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</si>
  <si>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</si>
  <si>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</si>
  <si>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</si>
  <si>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</si>
  <si>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</si>
  <si>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</si>
  <si>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</si>
  <si>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</si>
  <si>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</si>
  <si>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</si>
  <si>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</si>
  <si>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</si>
  <si>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</si>
  <si>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</si>
  <si>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</si>
  <si>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</si>
  <si>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</si>
  <si>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</si>
  <si>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</si>
  <si>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</si>
  <si>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</si>
  <si>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</si>
  <si>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</si>
  <si>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</si>
  <si>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</si>
  <si>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</si>
  <si>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</si>
  <si>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</si>
  <si>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</si>
  <si>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</si>
  <si>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</si>
  <si>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</si>
  <si>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</si>
  <si>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</si>
  <si>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</si>
  <si>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</si>
  <si>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</si>
  <si>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</si>
  <si>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</si>
  <si>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</si>
  <si>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</si>
  <si>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</si>
  <si>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</si>
  <si>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</si>
  <si>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</si>
  <si>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</si>
  <si>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</si>
  <si>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</si>
  <si>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</si>
  <si>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</si>
  <si>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</si>
  <si>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</si>
  <si>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</si>
  <si>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</si>
  <si>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</si>
  <si>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</si>
  <si>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</si>
  <si>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</si>
  <si>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</si>
  <si>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</si>
  <si>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</si>
  <si>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</si>
  <si>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</si>
  <si>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</si>
  <si>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</si>
  <si>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</si>
  <si>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</si>
  <si>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</si>
  <si>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</si>
  <si>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</si>
  <si>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</si>
  <si>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</si>
  <si>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</si>
  <si>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</si>
  <si>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</si>
  <si>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</si>
  <si>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</si>
  <si>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</si>
  <si>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</si>
  <si>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</si>
  <si>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</si>
  <si>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</si>
  <si>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</si>
  <si>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</si>
  <si>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</si>
  <si>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</si>
  <si>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</si>
  <si>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</si>
  <si>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</si>
  <si>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</si>
  <si>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</si>
  <si>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</si>
  <si>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</si>
  <si>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</si>
  <si>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</si>
  <si>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</si>
  <si>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</si>
  <si>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</si>
  <si>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</si>
  <si>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</si>
  <si>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</si>
  <si>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</si>
  <si>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</si>
  <si>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</si>
  <si>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</si>
  <si>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</si>
  <si>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</si>
  <si>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</si>
  <si>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</si>
  <si>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</si>
  <si>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</si>
  <si>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</si>
  <si>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</si>
  <si>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</si>
  <si>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</si>
  <si>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</si>
  <si>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</si>
  <si>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</si>
  <si>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</si>
  <si>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</si>
  <si>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</si>
  <si>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</si>
  <si>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</si>
  <si>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</si>
  <si>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</si>
  <si>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</si>
  <si>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</si>
  <si>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</si>
  <si>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</si>
  <si>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</si>
  <si>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</si>
  <si>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</si>
  <si>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</si>
  <si>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</si>
  <si>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</si>
  <si>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</si>
  <si>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</si>
  <si>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</si>
  <si>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</si>
  <si>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</si>
  <si>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</si>
  <si>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</si>
  <si>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</si>
  <si>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</si>
  <si>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</si>
  <si>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</si>
  <si>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</si>
  <si>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</si>
  <si>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</si>
  <si>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</si>
  <si>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</si>
  <si>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</si>
  <si>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</si>
  <si>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</si>
  <si>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</si>
  <si>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</si>
  <si>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</si>
  <si>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</si>
  <si>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</si>
  <si>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</si>
  <si>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</si>
  <si>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</si>
  <si>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</si>
  <si>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</si>
  <si>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</si>
  <si>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</si>
  <si>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</si>
  <si>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</si>
  <si>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</si>
  <si>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</si>
  <si>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</si>
  <si>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</si>
  <si>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</si>
  <si>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</si>
  <si>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</si>
  <si>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</si>
  <si>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</si>
  <si>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</si>
  <si>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</si>
  <si>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</si>
  <si>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</si>
  <si>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</si>
  <si>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</si>
  <si>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</si>
  <si>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</si>
  <si>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</si>
  <si>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</si>
  <si>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</si>
  <si>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</si>
  <si>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</si>
  <si>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</si>
  <si>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</si>
  <si>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</si>
  <si>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</si>
  <si>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</si>
  <si>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</si>
  <si>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</si>
  <si>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</si>
  <si>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</si>
  <si>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</si>
  <si>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</si>
  <si>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</si>
  <si>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</si>
  <si>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</si>
  <si>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</si>
  <si>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</si>
  <si>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</si>
  <si>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</si>
  <si>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</si>
  <si>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</si>
  <si>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</si>
  <si>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</si>
  <si>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</si>
  <si>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</si>
  <si>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</si>
  <si>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</si>
  <si>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</si>
  <si>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</si>
  <si>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</si>
  <si>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</si>
  <si>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</si>
  <si>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</si>
  <si>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</si>
  <si>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</si>
  <si>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</si>
  <si>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</si>
  <si>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</si>
  <si>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</si>
  <si>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</si>
  <si>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</si>
  <si>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</si>
  <si>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</si>
  <si>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</si>
  <si>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</si>
  <si>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</si>
  <si>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</si>
  <si>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</si>
  <si>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</si>
  <si>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</si>
  <si>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</si>
  <si>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</si>
  <si>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</si>
  <si>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</si>
  <si>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</si>
  <si>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</si>
  <si>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</si>
  <si>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</si>
  <si>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</si>
  <si>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</si>
  <si>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</si>
  <si>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</si>
  <si>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</si>
  <si>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</si>
  <si>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</si>
  <si>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</si>
  <si>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</si>
  <si>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</si>
  <si>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</si>
  <si>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</si>
  <si>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</si>
  <si>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</si>
  <si>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</si>
  <si>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</si>
  <si>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</si>
  <si>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</si>
  <si>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</si>
  <si>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</si>
  <si>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</si>
  <si>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</si>
  <si>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</si>
  <si>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</si>
  <si>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</si>
  <si>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</si>
  <si>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</si>
  <si>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</si>
  <si>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</si>
  <si>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</si>
  <si>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</si>
  <si>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</si>
  <si>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</si>
  <si>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</si>
  <si>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</si>
  <si>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</si>
  <si>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</si>
  <si>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</si>
  <si>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</si>
  <si>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</si>
  <si>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</si>
  <si>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</si>
  <si>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</si>
  <si>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</si>
  <si>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</si>
  <si>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</si>
  <si>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</si>
  <si>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</si>
  <si>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</si>
  <si>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</si>
  <si>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</si>
  <si>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</si>
  <si>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</si>
  <si>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</si>
  <si>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</si>
  <si>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</si>
  <si>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</si>
  <si>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</si>
  <si>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</si>
  <si>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</si>
  <si>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</si>
  <si>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</si>
  <si>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</si>
  <si>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</si>
  <si>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</si>
  <si>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</si>
  <si>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</si>
  <si>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</si>
  <si>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</si>
  <si>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</si>
  <si>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</si>
  <si>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</si>
  <si>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</si>
  <si>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</si>
  <si>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</si>
  <si>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</si>
  <si>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</si>
  <si>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</si>
  <si>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</si>
  <si>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</si>
  <si>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</si>
  <si>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</si>
  <si>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</si>
  <si>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</si>
  <si>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</si>
  <si>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</si>
  <si>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</si>
  <si>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</si>
  <si>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</si>
  <si>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</si>
  <si>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</si>
  <si>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</si>
  <si>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</si>
  <si>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</si>
  <si>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</si>
  <si>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</si>
  <si>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</si>
  <si>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</si>
  <si>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</si>
  <si>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</si>
  <si>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</si>
  <si>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</si>
  <si>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</si>
  <si>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</si>
  <si>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</si>
  <si>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</si>
  <si>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</si>
  <si>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</si>
  <si>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</si>
  <si>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</si>
  <si>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</si>
  <si>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</si>
  <si>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</si>
  <si>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</si>
  <si>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</si>
  <si>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</si>
  <si>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</si>
  <si>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</si>
  <si>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</si>
  <si>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</si>
  <si>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</si>
  <si>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</si>
  <si>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</si>
  <si>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</si>
  <si>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</si>
  <si>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</si>
  <si>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</si>
  <si>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</si>
  <si>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</si>
  <si>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</si>
  <si>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</si>
  <si>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</si>
  <si>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</si>
  <si>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</si>
  <si>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</si>
  <si>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</si>
  <si>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</si>
  <si>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</si>
  <si>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</si>
  <si>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</si>
  <si>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</si>
  <si>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</si>
  <si>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</si>
  <si>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</si>
  <si>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</si>
  <si>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</si>
  <si>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</si>
  <si>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</si>
  <si>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</si>
  <si>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</si>
  <si>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</si>
  <si>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</si>
  <si>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</si>
  <si>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</si>
  <si>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</si>
  <si>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</si>
  <si>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</si>
  <si>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</si>
  <si>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</si>
  <si>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</si>
  <si>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</si>
  <si>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</si>
  <si>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</si>
  <si>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</si>
  <si>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</si>
  <si>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</si>
  <si>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</si>
  <si>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</si>
  <si>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</si>
  <si>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</si>
  <si>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</si>
  <si>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</si>
  <si>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</si>
  <si>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</si>
  <si>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</si>
  <si>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</si>
  <si>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</si>
  <si>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</si>
  <si>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</si>
  <si>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</si>
  <si>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</si>
  <si>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</si>
  <si>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</si>
  <si>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</si>
  <si>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</si>
  <si>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</si>
  <si>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</si>
  <si>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</si>
  <si>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</si>
  <si>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</si>
  <si>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</si>
  <si>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</si>
  <si>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</si>
  <si>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</si>
  <si>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</si>
  <si>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</si>
  <si>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</si>
  <si>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</si>
  <si>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</si>
  <si>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</si>
  <si>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</si>
  <si>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</si>
  <si>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</si>
  <si>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</si>
  <si>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</si>
  <si>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</si>
  <si>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</si>
  <si>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</si>
  <si>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</si>
  <si>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</si>
  <si>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</si>
  <si>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</si>
  <si>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</si>
  <si>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</si>
  <si>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</si>
  <si>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</si>
  <si>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</si>
  <si>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</si>
  <si>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</si>
  <si>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</si>
  <si>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</si>
  <si>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</si>
  <si>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</si>
  <si>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</si>
  <si>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</si>
  <si>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</si>
  <si>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</si>
  <si>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</si>
  <si>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</si>
  <si>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</si>
  <si>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</si>
  <si>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</si>
  <si>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</si>
  <si>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</si>
  <si>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</si>
  <si>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</si>
  <si>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</si>
  <si>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</si>
  <si>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</si>
  <si>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</si>
  <si>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</si>
  <si>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</si>
  <si>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</si>
  <si>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</si>
  <si>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</si>
  <si>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</si>
  <si>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</si>
  <si>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</si>
  <si>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</si>
  <si>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</si>
  <si>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</si>
  <si>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</si>
  <si>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</si>
  <si>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</si>
  <si>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</si>
  <si>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</si>
  <si>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</si>
  <si>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</si>
  <si>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</si>
  <si>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</si>
  <si>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</si>
  <si>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</si>
  <si>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</si>
  <si>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</si>
  <si>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</si>
  <si>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</si>
  <si>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</si>
  <si>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</si>
  <si>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</si>
  <si>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</si>
  <si>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</si>
  <si>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</si>
  <si>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</si>
  <si>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</si>
  <si>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</si>
  <si>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</si>
  <si>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</si>
  <si>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</si>
  <si>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</si>
  <si>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</si>
  <si>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</si>
  <si>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</si>
  <si>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</si>
  <si>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</si>
  <si>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</si>
  <si>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</si>
  <si>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</si>
  <si>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</si>
  <si>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</si>
  <si>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</si>
  <si>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</si>
  <si>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</si>
  <si>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</si>
  <si>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</si>
  <si>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</si>
  <si>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</si>
  <si>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</si>
  <si>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</si>
  <si>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</si>
  <si>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</si>
  <si>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</si>
  <si>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</si>
  <si>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</si>
  <si>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</si>
  <si>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</si>
  <si>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</si>
  <si>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</si>
  <si>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</si>
  <si>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</si>
  <si>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</si>
  <si>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</si>
  <si>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</si>
  <si>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</si>
  <si>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</si>
  <si>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</si>
  <si>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</si>
  <si>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</si>
  <si>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</si>
  <si>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</si>
  <si>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</si>
  <si>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</si>
  <si>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</si>
  <si>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</si>
  <si>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</si>
  <si>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</si>
  <si>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</si>
  <si>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</si>
  <si>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</si>
  <si>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</si>
  <si>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</si>
  <si>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</si>
  <si>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</si>
  <si>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</si>
  <si>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</si>
  <si>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</si>
  <si>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</si>
  <si>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</si>
  <si>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</si>
  <si>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</si>
  <si>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</si>
  <si>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</si>
  <si>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</si>
  <si>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</si>
  <si>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</si>
  <si>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</si>
  <si>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</si>
  <si>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</si>
  <si>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</si>
  <si>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</si>
  <si>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</si>
  <si>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</si>
  <si>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</si>
  <si>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</si>
  <si>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</si>
  <si>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</si>
  <si>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</si>
  <si>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</si>
  <si>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</si>
  <si>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</si>
  <si>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</si>
  <si>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</si>
  <si>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</si>
  <si>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</si>
  <si>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</si>
  <si>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</si>
  <si>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</si>
  <si>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</si>
  <si>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</si>
  <si>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</si>
  <si>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</si>
  <si>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</si>
  <si>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</si>
  <si>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</si>
  <si>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</si>
  <si>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</si>
  <si>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</si>
  <si>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</si>
  <si>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</si>
  <si>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</si>
  <si>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</si>
  <si>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</si>
  <si>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</si>
  <si>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</si>
  <si>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</si>
  <si>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</si>
  <si>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</si>
  <si>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</si>
  <si>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</si>
  <si>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</si>
  <si>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</si>
  <si>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</si>
  <si>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</si>
  <si>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</si>
  <si>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</si>
  <si>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</si>
  <si>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</si>
  <si>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</si>
  <si>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</si>
  <si>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</si>
  <si>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</si>
  <si>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</si>
  <si>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</si>
  <si>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</si>
  <si>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</si>
  <si>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</si>
  <si>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</si>
  <si>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</si>
  <si>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</si>
  <si>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</si>
  <si>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</si>
  <si>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</si>
  <si>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</si>
  <si>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</si>
  <si>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</si>
  <si>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</si>
  <si>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</si>
  <si>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</si>
  <si>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</si>
  <si>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</si>
  <si>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</si>
  <si>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</si>
  <si>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</si>
  <si>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</si>
  <si>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</si>
  <si>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</si>
  <si>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</si>
  <si>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</si>
  <si>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</si>
  <si>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</si>
  <si>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</si>
  <si>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</si>
  <si>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</si>
  <si>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</si>
  <si>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</si>
  <si>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</si>
  <si>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</si>
  <si>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</si>
  <si>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</si>
  <si>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</si>
  <si>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</si>
  <si>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</si>
  <si>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</si>
  <si>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</si>
  <si>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</si>
  <si>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</si>
  <si>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</si>
  <si>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</si>
  <si>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</si>
  <si>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</si>
  <si>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</si>
  <si>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</si>
  <si>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</si>
  <si>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</si>
  <si>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</si>
  <si>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</si>
  <si>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</si>
  <si>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</si>
  <si>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</si>
  <si>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</si>
  <si>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</si>
  <si>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</si>
  <si>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</si>
  <si>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</si>
  <si>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</si>
  <si>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</si>
  <si>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</si>
  <si>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</si>
  <si>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</si>
  <si>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</si>
  <si>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</si>
  <si>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</si>
  <si>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</si>
  <si>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</si>
  <si>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</si>
  <si>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</si>
  <si>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</si>
  <si>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</si>
  <si>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</si>
  <si>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</si>
  <si>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</si>
  <si>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</si>
  <si>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</si>
  <si>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</si>
  <si>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</si>
  <si>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</si>
  <si>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</si>
  <si>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</si>
  <si>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</si>
  <si>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</si>
  <si>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</si>
  <si>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</si>
  <si>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</si>
  <si>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</si>
  <si>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</si>
  <si>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</si>
  <si>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</si>
  <si>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</si>
  <si>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</si>
  <si>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</si>
  <si>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</si>
  <si>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</si>
  <si>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</si>
  <si>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</si>
  <si>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</si>
  <si>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</si>
  <si>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</si>
  <si>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</si>
  <si>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</si>
  <si>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</si>
  <si>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</si>
  <si>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</si>
  <si>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</si>
  <si>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</si>
  <si>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</si>
  <si>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</si>
  <si>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</si>
  <si>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</si>
  <si>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</si>
  <si>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</si>
  <si>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</si>
  <si>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</si>
  <si>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</si>
  <si>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</si>
  <si>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</si>
  <si>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</si>
  <si>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</si>
  <si>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</si>
  <si>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</si>
  <si>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</si>
  <si>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</si>
  <si>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</si>
  <si>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</si>
  <si>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</si>
  <si>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</si>
  <si>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</si>
  <si>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</si>
  <si>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</si>
  <si>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</si>
  <si>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</si>
  <si>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</si>
  <si>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</si>
  <si>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</si>
  <si>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</si>
  <si>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</si>
  <si>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</si>
  <si>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</si>
  <si>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</si>
  <si>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</si>
  <si>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</si>
  <si>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</si>
  <si>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</si>
  <si>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</si>
  <si>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</si>
  <si>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</si>
  <si>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</si>
  <si>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</si>
  <si>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</si>
  <si>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</si>
  <si>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</si>
  <si>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</si>
  <si>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</si>
  <si>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</si>
  <si>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</si>
  <si>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</si>
  <si>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</si>
  <si>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</si>
  <si>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</si>
  <si>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</si>
  <si>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</si>
  <si>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</si>
  <si>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</si>
  <si>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</si>
  <si>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</si>
  <si>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</si>
  <si>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</si>
  <si>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</si>
  <si>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</si>
  <si>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</si>
  <si>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</si>
  <si>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</si>
  <si>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</si>
  <si>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</si>
  <si>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</si>
  <si>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</si>
  <si>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</si>
  <si>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</si>
  <si>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</si>
  <si>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</si>
  <si>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</si>
  <si>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</si>
  <si>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</si>
  <si>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</si>
  <si>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</si>
  <si>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</si>
  <si>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</si>
  <si>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</si>
  <si>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</si>
  <si>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</si>
  <si>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</si>
  <si>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</si>
  <si>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</si>
  <si>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</si>
  <si>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</si>
  <si>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</si>
  <si>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</si>
  <si>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</si>
  <si>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</si>
  <si>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</si>
  <si>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</si>
  <si>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</si>
  <si>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</si>
  <si>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</si>
  <si>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</si>
  <si>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</si>
  <si>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</si>
  <si>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</si>
  <si>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</si>
  <si>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</si>
  <si>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</si>
  <si>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</si>
  <si>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</si>
  <si>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</si>
  <si>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</si>
  <si>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</si>
  <si>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</si>
  <si>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</si>
  <si>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</si>
  <si>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</si>
  <si>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</si>
  <si>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</si>
  <si>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</si>
  <si>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</si>
  <si>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</si>
  <si>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</si>
  <si>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</si>
  <si>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</si>
  <si>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</si>
  <si>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</si>
  <si>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</si>
  <si>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</si>
  <si>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</si>
  <si>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</si>
  <si>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</si>
  <si>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</si>
  <si>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</si>
  <si>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</si>
  <si>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</si>
  <si>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</si>
  <si>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</si>
  <si>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</si>
  <si>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</si>
  <si>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</si>
  <si>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</si>
  <si>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</si>
  <si>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</si>
  <si>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</si>
  <si>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</si>
  <si>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</si>
  <si>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</si>
  <si>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</si>
  <si>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</si>
  <si>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</si>
  <si>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</si>
  <si>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</si>
  <si>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</si>
  <si>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</si>
  <si>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</si>
  <si>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</si>
  <si>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</si>
  <si>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</si>
  <si>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</si>
  <si>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</si>
  <si>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</si>
  <si>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</si>
  <si>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</si>
  <si>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</si>
  <si>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</si>
  <si>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</si>
  <si>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</si>
  <si>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</si>
  <si>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</si>
  <si>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</si>
  <si>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</si>
  <si>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</si>
  <si>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</si>
  <si>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</si>
  <si>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</si>
  <si>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</si>
  <si>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</si>
  <si>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</si>
  <si>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</si>
  <si>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</si>
  <si>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</si>
  <si>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</si>
  <si>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</si>
  <si>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</si>
  <si>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</si>
  <si>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</si>
  <si>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</si>
  <si>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</si>
  <si>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</si>
  <si>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</si>
  <si>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</si>
  <si>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</si>
  <si>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</si>
  <si>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</si>
  <si>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</si>
  <si>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</si>
  <si>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</si>
  <si>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</si>
  <si>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</si>
  <si>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</si>
  <si>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</si>
  <si>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</si>
  <si>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</si>
  <si>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</si>
  <si>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</si>
  <si>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</si>
  <si>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</si>
  <si>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</si>
  <si>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0238904</t>
  </si>
  <si>
    <t>04008863</t>
  </si>
  <si>
    <t>79896958112</t>
  </si>
  <si>
    <t>UDRUGA ŽENE KOSOVSKE DOLINE</t>
  </si>
  <si>
    <t>22300</t>
  </si>
  <si>
    <t>RIĐANE, 22300 KNIN</t>
  </si>
  <si>
    <t>RIĐANE CENTAR 84</t>
  </si>
  <si>
    <t>HR6324020061100653723</t>
  </si>
  <si>
    <t>RADMILA BERIĆ</t>
  </si>
  <si>
    <t>31.12.2022</t>
  </si>
  <si>
    <t>Ivana Đuretić</t>
  </si>
  <si>
    <t>0915445500</t>
  </si>
  <si>
    <t>-</t>
  </si>
  <si>
    <t>ivana.irissavjetovanje@gmail.com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</si>
</sst>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0"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68" fillId="3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6" fillId="40" borderId="0" applyNumberFormat="0" applyBorder="0" applyAlignment="0" applyProtection="0"/>
    <xf numFmtId="0" fontId="0" fillId="41" borderId="1" applyNumberFormat="0" applyFont="0" applyAlignment="0" applyProtection="0"/>
    <xf numFmtId="0" fontId="87" fillId="42" borderId="2" applyNumberFormat="0" applyAlignment="0" applyProtection="0"/>
    <xf numFmtId="0" fontId="88" fillId="43"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9" fillId="10" borderId="0" applyNumberFormat="0" applyBorder="0" applyAlignment="0" applyProtection="0"/>
    <xf numFmtId="0" fontId="89" fillId="0" borderId="0" applyNumberFormat="0" applyFill="0" applyBorder="0" applyAlignment="0" applyProtection="0"/>
    <xf numFmtId="0" fontId="11" fillId="0" borderId="0" applyNumberFormat="0" applyFill="0" applyBorder="0" applyAlignment="0" applyProtection="0"/>
    <xf numFmtId="0" fontId="90" fillId="44" borderId="0" applyNumberFormat="0" applyBorder="0" applyAlignment="0" applyProtection="0"/>
    <xf numFmtId="0" fontId="91" fillId="0" borderId="4"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4" fillId="45" borderId="2" applyNumberFormat="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49" borderId="0" applyNumberFormat="0" applyBorder="0" applyAlignment="0" applyProtection="0"/>
    <xf numFmtId="0" fontId="70" fillId="50" borderId="7" applyNumberFormat="0" applyAlignment="0" applyProtection="0"/>
    <xf numFmtId="0" fontId="71" fillId="50" borderId="8" applyNumberFormat="0" applyAlignment="0" applyProtection="0"/>
    <xf numFmtId="0" fontId="95" fillId="0" borderId="9" applyNumberFormat="0" applyFill="0" applyAlignment="0" applyProtection="0"/>
    <xf numFmtId="0" fontId="72" fillId="9" borderId="0" applyNumberFormat="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75" fillId="0" borderId="11" applyNumberFormat="0" applyFill="0" applyAlignment="0" applyProtection="0"/>
    <xf numFmtId="0" fontId="76" fillId="0" borderId="12" applyNumberFormat="0" applyFill="0" applyAlignment="0" applyProtection="0"/>
    <xf numFmtId="0" fontId="76" fillId="0" borderId="0" applyNumberFormat="0" applyFill="0" applyBorder="0" applyAlignment="0" applyProtection="0"/>
    <xf numFmtId="0" fontId="96" fillId="51" borderId="0" applyNumberFormat="0" applyBorder="0" applyAlignment="0" applyProtection="0"/>
    <xf numFmtId="0" fontId="77"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38" fillId="0" borderId="0">
      <alignment/>
      <protection/>
    </xf>
    <xf numFmtId="0" fontId="38" fillId="0" borderId="0">
      <alignment/>
      <protection/>
    </xf>
    <xf numFmtId="0" fontId="32" fillId="0" borderId="0">
      <alignment/>
      <protection/>
    </xf>
    <xf numFmtId="0" fontId="6" fillId="0" borderId="0">
      <alignment/>
      <protection/>
    </xf>
    <xf numFmtId="0" fontId="38" fillId="0" borderId="0">
      <alignment/>
      <protection/>
    </xf>
    <xf numFmtId="0" fontId="6" fillId="0" borderId="0">
      <alignment/>
      <protection/>
    </xf>
    <xf numFmtId="0" fontId="97" fillId="42" borderId="14" applyNumberFormat="0" applyAlignment="0" applyProtection="0"/>
    <xf numFmtId="9" fontId="0" fillId="0" borderId="0" applyFont="0" applyFill="0" applyBorder="0" applyAlignment="0" applyProtection="0"/>
    <xf numFmtId="0" fontId="78" fillId="0" borderId="15" applyNumberFormat="0" applyFill="0" applyAlignment="0" applyProtection="0"/>
    <xf numFmtId="0" fontId="79" fillId="54" borderId="1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9" fillId="0" borderId="17" applyNumberFormat="0" applyFill="0" applyAlignment="0" applyProtection="0"/>
    <xf numFmtId="0" fontId="82" fillId="0" borderId="18" applyNumberFormat="0" applyFill="0" applyAlignment="0" applyProtection="0"/>
    <xf numFmtId="0" fontId="83" fillId="13" borderId="8" applyNumberFormat="0" applyAlignment="0" applyProtection="0"/>
    <xf numFmtId="0" fontId="100"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50" borderId="19" xfId="97" applyFont="1" applyFill="1" applyBorder="1" applyAlignment="1" applyProtection="1">
      <alignment horizontal="center" vertical="center"/>
      <protection hidden="1"/>
    </xf>
    <xf numFmtId="14" fontId="18" fillId="0" borderId="20" xfId="9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78"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99" applyFont="1" applyBorder="1" applyAlignment="1" applyProtection="1">
      <alignment horizontal="right" shrinkToFit="1"/>
      <protection/>
    </xf>
    <xf numFmtId="0" fontId="0" fillId="0" borderId="0" xfId="0" applyFill="1" applyAlignment="1">
      <alignment/>
    </xf>
    <xf numFmtId="0" fontId="30" fillId="0" borderId="0" xfId="99" applyNumberFormat="1" applyFont="1" applyFill="1" applyBorder="1" applyAlignment="1" applyProtection="1">
      <alignment/>
      <protection/>
    </xf>
    <xf numFmtId="3" fontId="17" fillId="0" borderId="0" xfId="99" applyNumberFormat="1" applyFont="1" applyBorder="1" applyAlignment="1" applyProtection="1">
      <alignment horizontal="left" vertical="center" shrinkToFit="1"/>
      <protection/>
    </xf>
    <xf numFmtId="0" fontId="18" fillId="0" borderId="0" xfId="99" applyFont="1" applyBorder="1" applyAlignment="1" applyProtection="1">
      <alignment horizontal="left" vertical="center" shrinkToFit="1"/>
      <protection/>
    </xf>
    <xf numFmtId="3" fontId="17" fillId="0" borderId="0" xfId="99" applyNumberFormat="1" applyFont="1" applyFill="1" applyBorder="1" applyAlignment="1" applyProtection="1">
      <alignment vertical="center"/>
      <protection/>
    </xf>
    <xf numFmtId="0" fontId="17" fillId="0" borderId="0" xfId="99" applyFont="1" applyBorder="1" applyAlignment="1" applyProtection="1">
      <alignment vertical="center"/>
      <protection/>
    </xf>
    <xf numFmtId="0" fontId="17" fillId="0" borderId="0" xfId="99" applyFont="1" applyBorder="1" applyAlignment="1" applyProtection="1">
      <alignment horizontal="left" vertical="center"/>
      <protection/>
    </xf>
    <xf numFmtId="0" fontId="30" fillId="0" borderId="0" xfId="99" applyNumberFormat="1" applyFont="1" applyFill="1" applyBorder="1" applyAlignment="1" applyProtection="1">
      <alignment vertical="center"/>
      <protection hidden="1"/>
    </xf>
    <xf numFmtId="3" fontId="17" fillId="0" borderId="0" xfId="99" applyNumberFormat="1" applyFont="1" applyFill="1" applyBorder="1" applyAlignment="1" applyProtection="1">
      <alignment horizontal="left" vertical="center"/>
      <protection/>
    </xf>
    <xf numFmtId="0" fontId="6" fillId="0" borderId="0" xfId="10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4" fillId="50" borderId="22" xfId="0" applyFont="1" applyFill="1" applyBorder="1" applyAlignment="1">
      <alignment horizontal="center" vertical="center"/>
    </xf>
    <xf numFmtId="0" fontId="26" fillId="50" borderId="22" xfId="103" applyFont="1" applyFill="1" applyBorder="1" applyAlignment="1">
      <alignment horizontal="center" vertical="center" wrapText="1"/>
      <protection/>
    </xf>
    <xf numFmtId="0" fontId="32" fillId="0" borderId="20" xfId="0" applyNumberFormat="1" applyFont="1" applyFill="1" applyBorder="1" applyAlignment="1">
      <alignment vertical="center"/>
    </xf>
    <xf numFmtId="0" fontId="41" fillId="0" borderId="23" xfId="103" applyNumberFormat="1" applyFont="1" applyFill="1" applyBorder="1" applyAlignment="1">
      <alignment horizontal="right" vertical="center"/>
      <protection/>
    </xf>
    <xf numFmtId="0" fontId="32" fillId="0" borderId="0" xfId="0" applyFont="1" applyFill="1" applyBorder="1" applyAlignment="1">
      <alignment vertical="center"/>
    </xf>
    <xf numFmtId="190" fontId="32" fillId="0" borderId="20" xfId="0" applyNumberFormat="1" applyFont="1" applyFill="1" applyBorder="1" applyAlignment="1">
      <alignment horizontal="center" vertical="center"/>
    </xf>
    <xf numFmtId="0" fontId="32" fillId="0" borderId="24" xfId="0" applyNumberFormat="1" applyFont="1" applyFill="1" applyBorder="1" applyAlignment="1">
      <alignment vertical="center"/>
    </xf>
    <xf numFmtId="0" fontId="41" fillId="0" borderId="25" xfId="103" applyNumberFormat="1" applyFont="1" applyFill="1" applyBorder="1" applyAlignment="1">
      <alignment horizontal="right" vertical="center"/>
      <protection/>
    </xf>
    <xf numFmtId="190" fontId="32" fillId="0" borderId="24" xfId="0"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41" fillId="0" borderId="27" xfId="103" applyNumberFormat="1" applyFont="1" applyFill="1" applyBorder="1" applyAlignment="1">
      <alignment horizontal="right" vertical="center"/>
      <protection/>
    </xf>
    <xf numFmtId="190" fontId="32" fillId="0" borderId="26" xfId="0" applyNumberFormat="1" applyFont="1" applyFill="1" applyBorder="1" applyAlignment="1">
      <alignment horizontal="center" vertical="center"/>
    </xf>
    <xf numFmtId="0" fontId="42" fillId="0" borderId="0" xfId="0" applyFont="1" applyAlignment="1" applyProtection="1">
      <alignment horizontal="right" vertical="center"/>
      <protection/>
    </xf>
    <xf numFmtId="0" fontId="26" fillId="50" borderId="28" xfId="0" applyFont="1" applyFill="1" applyBorder="1" applyAlignment="1">
      <alignment horizontal="center" vertical="center" wrapText="1"/>
    </xf>
    <xf numFmtId="0" fontId="26" fillId="50" borderId="28" xfId="96" applyFont="1" applyFill="1" applyBorder="1" applyAlignment="1">
      <alignment horizontal="center" vertical="center"/>
      <protection/>
    </xf>
    <xf numFmtId="192" fontId="29" fillId="55" borderId="21" xfId="0" applyNumberFormat="1" applyFont="1" applyFill="1" applyBorder="1" applyAlignment="1" applyProtection="1">
      <alignment horizontal="center" vertical="center" shrinkToFit="1"/>
      <protection locked="0"/>
    </xf>
    <xf numFmtId="195" fontId="29" fillId="55" borderId="21" xfId="0" applyNumberFormat="1" applyFont="1" applyFill="1" applyBorder="1" applyAlignment="1" applyProtection="1">
      <alignment horizontal="center" vertical="center"/>
      <protection locked="0"/>
    </xf>
    <xf numFmtId="3" fontId="29" fillId="55" borderId="21" xfId="0" applyNumberFormat="1" applyFont="1" applyFill="1" applyBorder="1" applyAlignment="1" applyProtection="1">
      <alignment horizontal="center" vertical="center"/>
      <protection locked="0"/>
    </xf>
    <xf numFmtId="1" fontId="29" fillId="55" borderId="21" xfId="0" applyNumberFormat="1" applyFont="1" applyFill="1" applyBorder="1" applyAlignment="1" applyProtection="1">
      <alignment horizontal="center" vertical="center"/>
      <protection locked="0"/>
    </xf>
    <xf numFmtId="182" fontId="32" fillId="0" borderId="29" xfId="0" applyNumberFormat="1" applyFont="1" applyFill="1" applyBorder="1" applyAlignment="1" applyProtection="1">
      <alignment horizontal="right" vertical="center"/>
      <protection/>
    </xf>
    <xf numFmtId="182" fontId="32" fillId="0" borderId="30" xfId="0" applyNumberFormat="1" applyFont="1" applyFill="1" applyBorder="1" applyAlignment="1" applyProtection="1">
      <alignment horizontal="right" vertical="center"/>
      <protection/>
    </xf>
    <xf numFmtId="3" fontId="32" fillId="0" borderId="30" xfId="0" applyNumberFormat="1" applyFont="1" applyFill="1" applyBorder="1" applyAlignment="1" applyProtection="1">
      <alignment vertical="center"/>
      <protection locked="0"/>
    </xf>
    <xf numFmtId="3" fontId="32" fillId="0" borderId="31" xfId="0" applyNumberFormat="1" applyFont="1" applyFill="1" applyBorder="1" applyAlignment="1" applyProtection="1">
      <alignment vertical="center"/>
      <protection locked="0"/>
    </xf>
    <xf numFmtId="182" fontId="32" fillId="0" borderId="31" xfId="0" applyNumberFormat="1" applyFont="1" applyFill="1" applyBorder="1" applyAlignment="1" applyProtection="1">
      <alignment horizontal="right" vertical="center"/>
      <protection/>
    </xf>
    <xf numFmtId="3" fontId="32" fillId="0" borderId="29" xfId="0" applyNumberFormat="1" applyFont="1" applyFill="1" applyBorder="1" applyAlignment="1" applyProtection="1">
      <alignment vertical="center"/>
      <protection locked="0"/>
    </xf>
    <xf numFmtId="0" fontId="27" fillId="56" borderId="32" xfId="96" applyFont="1" applyFill="1" applyBorder="1" applyAlignment="1">
      <alignment horizontal="center" vertical="center" wrapText="1"/>
      <protection/>
    </xf>
    <xf numFmtId="0" fontId="27" fillId="56" borderId="32" xfId="0" applyFont="1" applyFill="1" applyBorder="1" applyAlignment="1">
      <alignment horizontal="center" vertical="center" wrapText="1"/>
    </xf>
    <xf numFmtId="0" fontId="27" fillId="56" borderId="33" xfId="96" applyFont="1" applyFill="1" applyBorder="1" applyAlignment="1">
      <alignment horizontal="center" vertical="center"/>
      <protection/>
    </xf>
    <xf numFmtId="0" fontId="27" fillId="56" borderId="33" xfId="96" applyFont="1" applyFill="1" applyBorder="1" applyAlignment="1">
      <alignment horizontal="center" vertical="center" wrapText="1"/>
      <protection/>
    </xf>
    <xf numFmtId="0" fontId="27" fillId="56" borderId="33" xfId="0" applyFont="1" applyFill="1" applyBorder="1" applyAlignment="1">
      <alignment horizontal="center" vertical="center" wrapText="1"/>
    </xf>
    <xf numFmtId="0" fontId="27" fillId="56" borderId="34" xfId="0" applyFont="1" applyFill="1" applyBorder="1" applyAlignment="1">
      <alignment horizontal="center" vertical="center" wrapText="1"/>
    </xf>
    <xf numFmtId="0" fontId="27" fillId="56" borderId="35" xfId="0" applyFont="1" applyFill="1" applyBorder="1" applyAlignment="1">
      <alignment horizontal="center" vertical="center" wrapText="1"/>
    </xf>
    <xf numFmtId="0" fontId="28" fillId="0" borderId="36" xfId="0" applyFont="1" applyFill="1" applyBorder="1" applyAlignment="1" applyProtection="1">
      <alignment horizontal="left" vertical="top" wrapText="1"/>
      <protection hidden="1"/>
    </xf>
    <xf numFmtId="3" fontId="28" fillId="0" borderId="36" xfId="0" applyNumberFormat="1" applyFont="1" applyFill="1" applyBorder="1" applyAlignment="1" applyProtection="1">
      <alignment horizontal="right" vertical="top"/>
      <protection hidden="1"/>
    </xf>
    <xf numFmtId="3" fontId="40" fillId="0" borderId="0" xfId="98" applyNumberFormat="1" applyFont="1" applyBorder="1" applyAlignment="1" applyProtection="1">
      <alignment horizontal="right" vertical="center"/>
      <protection/>
    </xf>
    <xf numFmtId="0" fontId="18" fillId="0" borderId="0" xfId="99" applyFont="1" applyBorder="1" applyAlignment="1" applyProtection="1">
      <alignment horizontal="right" shrinkToFit="1"/>
      <protection/>
    </xf>
    <xf numFmtId="0" fontId="17" fillId="0" borderId="0" xfId="9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7" fillId="56" borderId="37" xfId="0" applyFont="1" applyFill="1" applyBorder="1" applyAlignment="1">
      <alignment horizontal="center" vertical="center" wrapText="1"/>
    </xf>
    <xf numFmtId="0" fontId="27" fillId="56" borderId="38" xfId="96" applyFont="1" applyFill="1" applyBorder="1" applyAlignment="1">
      <alignment horizontal="center" vertical="center"/>
      <protection/>
    </xf>
    <xf numFmtId="0" fontId="27" fillId="56" borderId="38" xfId="96" applyFont="1" applyFill="1" applyBorder="1" applyAlignment="1">
      <alignment horizontal="center" vertical="center" wrapText="1"/>
      <protection/>
    </xf>
    <xf numFmtId="0" fontId="27" fillId="56" borderId="38" xfId="0" applyFont="1" applyFill="1" applyBorder="1" applyAlignment="1">
      <alignment horizontal="center" vertical="center" wrapText="1"/>
    </xf>
    <xf numFmtId="0" fontId="27" fillId="56" borderId="39" xfId="0" applyFont="1" applyFill="1" applyBorder="1" applyAlignment="1">
      <alignment horizontal="center" vertical="center" wrapText="1"/>
    </xf>
    <xf numFmtId="0" fontId="18"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7"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99" applyNumberFormat="1" applyFont="1" applyFill="1" applyBorder="1" applyAlignment="1" applyProtection="1">
      <alignment horizontal="left" shrinkToFit="1"/>
      <protection/>
    </xf>
    <xf numFmtId="0" fontId="39" fillId="0" borderId="40" xfId="99" applyNumberFormat="1" applyFont="1" applyFill="1" applyBorder="1" applyAlignment="1" applyProtection="1">
      <alignment horizontal="left" shrinkToFit="1"/>
      <protection/>
    </xf>
    <xf numFmtId="49" fontId="39" fillId="0" borderId="0" xfId="99" applyNumberFormat="1" applyFont="1" applyFill="1" applyBorder="1" applyAlignment="1" applyProtection="1">
      <alignment horizontal="left" shrinkToFit="1"/>
      <protection/>
    </xf>
    <xf numFmtId="0" fontId="39"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6" fillId="0" borderId="0" xfId="102" applyFont="1">
      <alignment/>
      <protection/>
    </xf>
    <xf numFmtId="0" fontId="0" fillId="0" borderId="0" xfId="99" applyFont="1">
      <alignment/>
      <protection/>
    </xf>
    <xf numFmtId="3" fontId="17" fillId="0" borderId="41"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left"/>
      <protection hidden="1"/>
    </xf>
    <xf numFmtId="49" fontId="17" fillId="0" borderId="0"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center"/>
      <protection hidden="1"/>
    </xf>
    <xf numFmtId="3" fontId="17" fillId="0" borderId="41" xfId="99" applyNumberFormat="1" applyFont="1" applyBorder="1" applyAlignment="1" applyProtection="1">
      <alignment horizontal="left"/>
      <protection hidden="1"/>
    </xf>
    <xf numFmtId="49" fontId="17" fillId="0" borderId="0" xfId="99" applyNumberFormat="1" applyFont="1" applyBorder="1" applyAlignment="1" applyProtection="1">
      <alignment horizontal="left"/>
      <protection hidden="1"/>
    </xf>
    <xf numFmtId="0" fontId="18" fillId="0" borderId="0" xfId="99" applyFont="1" applyAlignment="1" applyProtection="1">
      <alignment/>
      <protection hidden="1"/>
    </xf>
    <xf numFmtId="0" fontId="17" fillId="0" borderId="0" xfId="99" applyFont="1" applyBorder="1" applyAlignment="1" applyProtection="1">
      <alignment horizontal="left"/>
      <protection hidden="1"/>
    </xf>
    <xf numFmtId="0" fontId="18" fillId="0" borderId="0" xfId="99" applyFont="1" applyBorder="1" applyAlignment="1" applyProtection="1">
      <alignment horizontal="right"/>
      <protection hidden="1"/>
    </xf>
    <xf numFmtId="3" fontId="18"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46" fillId="0" borderId="0" xfId="105" applyFont="1" applyProtection="1">
      <alignment/>
      <protection hidden="1"/>
    </xf>
    <xf numFmtId="0" fontId="0" fillId="0" borderId="0" xfId="0" applyFont="1" applyAlignment="1" applyProtection="1">
      <alignment vertical="center"/>
      <protection hidden="1"/>
    </xf>
    <xf numFmtId="0" fontId="17" fillId="0" borderId="41" xfId="102" applyNumberFormat="1" applyFont="1" applyBorder="1" applyAlignment="1" applyProtection="1">
      <alignment horizontal="center"/>
      <protection hidden="1"/>
    </xf>
    <xf numFmtId="182" fontId="32" fillId="0" borderId="42" xfId="102" applyNumberFormat="1" applyFont="1" applyFill="1" applyBorder="1" applyAlignment="1">
      <alignment horizontal="right" vertical="center"/>
      <protection/>
    </xf>
    <xf numFmtId="182" fontId="32" fillId="0" borderId="43" xfId="102" applyNumberFormat="1" applyFont="1" applyFill="1" applyBorder="1" applyAlignment="1">
      <alignment horizontal="right" vertical="center"/>
      <protection/>
    </xf>
    <xf numFmtId="0" fontId="48" fillId="0" borderId="0" xfId="102" applyFont="1" applyProtection="1">
      <alignment/>
      <protection hidden="1"/>
    </xf>
    <xf numFmtId="0" fontId="48" fillId="0" borderId="0" xfId="102" applyFont="1" applyAlignment="1" applyProtection="1">
      <alignment/>
      <protection hidden="1"/>
    </xf>
    <xf numFmtId="0" fontId="48" fillId="0" borderId="0" xfId="102" applyFont="1">
      <alignment/>
      <protection/>
    </xf>
    <xf numFmtId="0" fontId="32" fillId="0" borderId="44" xfId="95" applyNumberFormat="1" applyFont="1" applyFill="1" applyBorder="1" applyAlignment="1" applyProtection="1">
      <alignment horizontal="left" vertical="center"/>
      <protection/>
    </xf>
    <xf numFmtId="178" fontId="32" fillId="0" borderId="29" xfId="95" applyNumberFormat="1" applyFont="1" applyFill="1" applyBorder="1" applyAlignment="1" applyProtection="1">
      <alignment horizontal="center" vertical="center"/>
      <protection/>
    </xf>
    <xf numFmtId="0" fontId="32" fillId="0" borderId="45" xfId="95" applyNumberFormat="1" applyFont="1" applyFill="1" applyBorder="1" applyAlignment="1" applyProtection="1">
      <alignment horizontal="left" vertical="center"/>
      <protection/>
    </xf>
    <xf numFmtId="178" fontId="32" fillId="0" borderId="30" xfId="95" applyNumberFormat="1" applyFont="1" applyFill="1" applyBorder="1" applyAlignment="1" applyProtection="1">
      <alignment horizontal="center" vertical="center"/>
      <protection/>
    </xf>
    <xf numFmtId="0" fontId="32" fillId="0" borderId="46" xfId="95" applyNumberFormat="1" applyFont="1" applyFill="1" applyBorder="1" applyAlignment="1" applyProtection="1">
      <alignment horizontal="left" vertical="center"/>
      <protection/>
    </xf>
    <xf numFmtId="178" fontId="32" fillId="0" borderId="31" xfId="95" applyNumberFormat="1" applyFont="1" applyFill="1" applyBorder="1" applyAlignment="1" applyProtection="1">
      <alignment horizontal="center" vertical="center"/>
      <protection/>
    </xf>
    <xf numFmtId="0" fontId="51" fillId="0" borderId="45" xfId="95" applyNumberFormat="1" applyFont="1" applyFill="1" applyBorder="1" applyAlignment="1" applyProtection="1">
      <alignment horizontal="left" vertical="center" shrinkToFit="1"/>
      <protection/>
    </xf>
    <xf numFmtId="49" fontId="41" fillId="0" borderId="44" xfId="95" applyNumberFormat="1" applyFont="1" applyFill="1" applyBorder="1" applyAlignment="1" applyProtection="1">
      <alignment horizontal="left" vertical="center"/>
      <protection hidden="1"/>
    </xf>
    <xf numFmtId="178" fontId="32" fillId="0" borderId="29" xfId="102" applyNumberFormat="1" applyFont="1" applyFill="1" applyBorder="1" applyAlignment="1" applyProtection="1">
      <alignment horizontal="center" vertical="center"/>
      <protection hidden="1"/>
    </xf>
    <xf numFmtId="3" fontId="32" fillId="55" borderId="47" xfId="102" applyNumberFormat="1" applyFont="1" applyFill="1" applyBorder="1" applyAlignment="1" applyProtection="1">
      <alignment vertical="center"/>
      <protection hidden="1"/>
    </xf>
    <xf numFmtId="49" fontId="41" fillId="0" borderId="45" xfId="95" applyNumberFormat="1" applyFont="1" applyFill="1" applyBorder="1" applyAlignment="1" applyProtection="1">
      <alignment horizontal="left" vertical="center"/>
      <protection hidden="1"/>
    </xf>
    <xf numFmtId="178" fontId="32" fillId="0" borderId="30" xfId="102" applyNumberFormat="1" applyFont="1" applyFill="1" applyBorder="1" applyAlignment="1" applyProtection="1">
      <alignment horizontal="center" vertical="center"/>
      <protection hidden="1"/>
    </xf>
    <xf numFmtId="3" fontId="32" fillId="55" borderId="48" xfId="102" applyNumberFormat="1" applyFont="1" applyFill="1" applyBorder="1" applyAlignment="1" applyProtection="1">
      <alignment vertical="center"/>
      <protection hidden="1"/>
    </xf>
    <xf numFmtId="182" fontId="32" fillId="0" borderId="49" xfId="102" applyNumberFormat="1" applyFont="1" applyFill="1" applyBorder="1" applyAlignment="1">
      <alignment horizontal="right" vertical="center"/>
      <protection/>
    </xf>
    <xf numFmtId="49" fontId="32" fillId="0" borderId="45" xfId="95" applyNumberFormat="1" applyFont="1" applyFill="1" applyBorder="1" applyAlignment="1" applyProtection="1">
      <alignment horizontal="left" vertical="center"/>
      <protection hidden="1"/>
    </xf>
    <xf numFmtId="3" fontId="32" fillId="0" borderId="48" xfId="102" applyNumberFormat="1" applyFont="1" applyFill="1" applyBorder="1" applyAlignment="1" applyProtection="1">
      <alignment vertical="center"/>
      <protection locked="0"/>
    </xf>
    <xf numFmtId="3" fontId="32" fillId="0" borderId="50" xfId="102" applyNumberFormat="1" applyFont="1" applyFill="1" applyBorder="1" applyAlignment="1" applyProtection="1">
      <alignment vertical="center"/>
      <protection locked="0"/>
    </xf>
    <xf numFmtId="49" fontId="32" fillId="0" borderId="51" xfId="95" applyNumberFormat="1" applyFont="1" applyFill="1" applyBorder="1" applyAlignment="1" applyProtection="1">
      <alignment horizontal="left" vertical="center"/>
      <protection hidden="1"/>
    </xf>
    <xf numFmtId="178" fontId="32" fillId="0" borderId="52" xfId="102" applyNumberFormat="1" applyFont="1" applyFill="1" applyBorder="1" applyAlignment="1" applyProtection="1">
      <alignment horizontal="center" vertical="center"/>
      <protection hidden="1"/>
    </xf>
    <xf numFmtId="3" fontId="32" fillId="0" borderId="53" xfId="102" applyNumberFormat="1" applyFont="1" applyFill="1" applyBorder="1" applyAlignment="1" applyProtection="1">
      <alignment vertical="center"/>
      <protection locked="0"/>
    </xf>
    <xf numFmtId="3" fontId="32" fillId="0" borderId="54" xfId="102" applyNumberFormat="1" applyFont="1" applyFill="1" applyBorder="1" applyAlignment="1" applyProtection="1">
      <alignment vertical="center"/>
      <protection locked="0"/>
    </xf>
    <xf numFmtId="182" fontId="32" fillId="0" borderId="55" xfId="102" applyNumberFormat="1" applyFont="1" applyFill="1" applyBorder="1" applyAlignment="1">
      <alignment horizontal="right" vertical="center"/>
      <protection/>
    </xf>
    <xf numFmtId="182" fontId="32" fillId="0" borderId="56" xfId="102" applyNumberFormat="1" applyFont="1" applyFill="1" applyBorder="1" applyAlignment="1">
      <alignment horizontal="right" vertical="center"/>
      <protection/>
    </xf>
    <xf numFmtId="3" fontId="32" fillId="0" borderId="57" xfId="102" applyNumberFormat="1" applyFont="1" applyFill="1" applyBorder="1" applyAlignment="1" applyProtection="1">
      <alignment vertical="center"/>
      <protection locked="0"/>
    </xf>
    <xf numFmtId="3" fontId="32" fillId="0" borderId="49" xfId="102" applyNumberFormat="1" applyFont="1" applyFill="1" applyBorder="1" applyAlignment="1" applyProtection="1">
      <alignment vertical="center"/>
      <protection locked="0"/>
    </xf>
    <xf numFmtId="3" fontId="32" fillId="0" borderId="58" xfId="102" applyNumberFormat="1" applyFont="1" applyFill="1" applyBorder="1" applyAlignment="1" applyProtection="1">
      <alignment vertical="center"/>
      <protection locked="0"/>
    </xf>
    <xf numFmtId="3" fontId="32" fillId="0" borderId="43" xfId="102" applyNumberFormat="1" applyFont="1" applyFill="1" applyBorder="1" applyAlignment="1" applyProtection="1">
      <alignment vertical="center"/>
      <protection locked="0"/>
    </xf>
    <xf numFmtId="182" fontId="32" fillId="0" borderId="59" xfId="102" applyNumberFormat="1" applyFont="1" applyFill="1" applyBorder="1" applyAlignment="1">
      <alignment horizontal="right" vertical="center"/>
      <protection/>
    </xf>
    <xf numFmtId="49" fontId="32" fillId="0" borderId="44" xfId="95" applyNumberFormat="1" applyFont="1" applyFill="1" applyBorder="1" applyAlignment="1" applyProtection="1">
      <alignment horizontal="left" vertical="center"/>
      <protection hidden="1"/>
    </xf>
    <xf numFmtId="3" fontId="32" fillId="0" borderId="47" xfId="102" applyNumberFormat="1" applyFont="1" applyFill="1" applyBorder="1" applyAlignment="1" applyProtection="1">
      <alignment vertical="center"/>
      <protection locked="0"/>
    </xf>
    <xf numFmtId="3" fontId="32" fillId="0" borderId="60" xfId="102" applyNumberFormat="1" applyFont="1" applyFill="1" applyBorder="1" applyAlignment="1" applyProtection="1">
      <alignment vertical="center"/>
      <protection locked="0"/>
    </xf>
    <xf numFmtId="3" fontId="32" fillId="55" borderId="53" xfId="102" applyNumberFormat="1" applyFont="1" applyFill="1" applyBorder="1" applyAlignment="1" applyProtection="1">
      <alignment vertical="center"/>
      <protection hidden="1"/>
    </xf>
    <xf numFmtId="0" fontId="17" fillId="0" borderId="0" xfId="99" applyNumberFormat="1" applyFont="1" applyFill="1" applyBorder="1" applyAlignment="1" applyProtection="1">
      <alignment vertical="center"/>
      <protection/>
    </xf>
    <xf numFmtId="0" fontId="17"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40" fillId="0" borderId="61" xfId="98" applyNumberFormat="1" applyFont="1" applyBorder="1" applyAlignment="1" applyProtection="1">
      <alignment horizontal="left" vertical="center"/>
      <protection/>
    </xf>
    <xf numFmtId="0" fontId="40" fillId="0" borderId="0" xfId="98" applyNumberFormat="1" applyFont="1" applyBorder="1" applyAlignment="1" applyProtection="1">
      <alignment horizontal="left" vertical="center"/>
      <protection/>
    </xf>
    <xf numFmtId="0" fontId="17"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7" fillId="0" borderId="0" xfId="99" applyNumberFormat="1" applyFont="1" applyFill="1" applyBorder="1" applyAlignment="1" applyProtection="1">
      <alignment horizontal="center" vertical="center"/>
      <protection/>
    </xf>
    <xf numFmtId="0" fontId="46" fillId="0" borderId="0" xfId="102" applyNumberFormat="1" applyFont="1">
      <alignment/>
      <protection/>
    </xf>
    <xf numFmtId="0" fontId="40" fillId="0" borderId="0" xfId="98" applyNumberFormat="1" applyFont="1" applyBorder="1" applyAlignment="1" applyProtection="1">
      <alignment vertical="center"/>
      <protection/>
    </xf>
    <xf numFmtId="182" fontId="32" fillId="0" borderId="62" xfId="0" applyNumberFormat="1" applyFont="1" applyFill="1" applyBorder="1" applyAlignment="1" applyProtection="1">
      <alignment horizontal="right" vertical="center"/>
      <protection hidden="1"/>
    </xf>
    <xf numFmtId="182" fontId="32" fillId="0" borderId="63" xfId="0" applyNumberFormat="1" applyFont="1" applyFill="1" applyBorder="1" applyAlignment="1" applyProtection="1">
      <alignment horizontal="right" vertical="center"/>
      <protection hidden="1"/>
    </xf>
    <xf numFmtId="182" fontId="32" fillId="0" borderId="64" xfId="0" applyNumberFormat="1" applyFont="1" applyFill="1" applyBorder="1" applyAlignment="1" applyProtection="1">
      <alignment horizontal="right" vertical="center"/>
      <protection hidden="1"/>
    </xf>
    <xf numFmtId="49" fontId="32" fillId="0" borderId="65" xfId="95" applyNumberFormat="1" applyFont="1" applyFill="1" applyBorder="1" applyAlignment="1">
      <alignment horizontal="left" vertical="center"/>
      <protection/>
    </xf>
    <xf numFmtId="49" fontId="32" fillId="0" borderId="66" xfId="95" applyNumberFormat="1" applyFont="1" applyFill="1" applyBorder="1" applyAlignment="1">
      <alignment horizontal="left" vertical="center"/>
      <protection/>
    </xf>
    <xf numFmtId="0" fontId="46" fillId="0" borderId="0" xfId="101" applyFont="1">
      <alignment/>
      <protection/>
    </xf>
    <xf numFmtId="49" fontId="32" fillId="0" borderId="67" xfId="95" applyNumberFormat="1" applyFont="1" applyFill="1" applyBorder="1" applyAlignment="1">
      <alignment horizontal="left" vertical="center"/>
      <protection/>
    </xf>
    <xf numFmtId="178" fontId="32" fillId="0" borderId="60" xfId="95" applyNumberFormat="1" applyFont="1" applyFill="1" applyBorder="1" applyAlignment="1">
      <alignment horizontal="center" vertical="center"/>
      <protection/>
    </xf>
    <xf numFmtId="3" fontId="32" fillId="0" borderId="60" xfId="0" applyNumberFormat="1" applyFont="1" applyFill="1" applyBorder="1" applyAlignment="1" applyProtection="1">
      <alignment vertical="center" shrinkToFit="1"/>
      <protection locked="0"/>
    </xf>
    <xf numFmtId="182" fontId="32" fillId="0" borderId="60" xfId="0" applyNumberFormat="1" applyFont="1" applyFill="1" applyBorder="1" applyAlignment="1" applyProtection="1">
      <alignment horizontal="right" vertical="center"/>
      <protection hidden="1"/>
    </xf>
    <xf numFmtId="178" fontId="32" fillId="0" borderId="50" xfId="95" applyNumberFormat="1" applyFont="1" applyFill="1" applyBorder="1" applyAlignment="1">
      <alignment horizontal="center" vertical="center"/>
      <protection/>
    </xf>
    <xf numFmtId="3" fontId="32" fillId="0" borderId="50" xfId="0" applyNumberFormat="1" applyFont="1" applyFill="1" applyBorder="1" applyAlignment="1" applyProtection="1">
      <alignment vertical="center" shrinkToFit="1"/>
      <protection locked="0"/>
    </xf>
    <xf numFmtId="182" fontId="32" fillId="0" borderId="50" xfId="0" applyNumberFormat="1" applyFont="1" applyFill="1" applyBorder="1" applyAlignment="1" applyProtection="1">
      <alignment horizontal="right" vertical="center"/>
      <protection hidden="1"/>
    </xf>
    <xf numFmtId="3" fontId="32" fillId="55" borderId="50" xfId="0" applyNumberFormat="1" applyFont="1" applyFill="1" applyBorder="1" applyAlignment="1" applyProtection="1">
      <alignment vertical="center"/>
      <protection/>
    </xf>
    <xf numFmtId="49" fontId="32" fillId="0" borderId="68" xfId="95" applyNumberFormat="1" applyFont="1" applyFill="1" applyBorder="1" applyAlignment="1">
      <alignment horizontal="left" vertical="center"/>
      <protection/>
    </xf>
    <xf numFmtId="49" fontId="32" fillId="0" borderId="69" xfId="95" applyNumberFormat="1" applyFont="1" applyFill="1" applyBorder="1" applyAlignment="1">
      <alignment horizontal="left" vertical="center"/>
      <protection/>
    </xf>
    <xf numFmtId="49" fontId="32" fillId="0" borderId="70" xfId="95" applyNumberFormat="1" applyFont="1" applyFill="1" applyBorder="1" applyAlignment="1">
      <alignment horizontal="left" vertical="center"/>
      <protection/>
    </xf>
    <xf numFmtId="178" fontId="32" fillId="0" borderId="71" xfId="95" applyNumberFormat="1" applyFont="1" applyFill="1" applyBorder="1" applyAlignment="1">
      <alignment horizontal="center" vertical="center"/>
      <protection/>
    </xf>
    <xf numFmtId="178" fontId="32" fillId="0" borderId="72" xfId="95" applyNumberFormat="1" applyFont="1" applyFill="1" applyBorder="1" applyAlignment="1">
      <alignment horizontal="center" vertical="center"/>
      <protection/>
    </xf>
    <xf numFmtId="3" fontId="32" fillId="0" borderId="72" xfId="0" applyNumberFormat="1" applyFont="1" applyFill="1" applyBorder="1" applyAlignment="1" applyProtection="1">
      <alignment vertical="center" shrinkToFit="1"/>
      <protection locked="0"/>
    </xf>
    <xf numFmtId="182" fontId="32" fillId="0" borderId="72" xfId="0" applyNumberFormat="1" applyFont="1" applyFill="1" applyBorder="1" applyAlignment="1" applyProtection="1">
      <alignment horizontal="right" vertical="center"/>
      <protection hidden="1"/>
    </xf>
    <xf numFmtId="178" fontId="32" fillId="0" borderId="30" xfId="95" applyNumberFormat="1" applyFont="1" applyFill="1" applyBorder="1" applyAlignment="1">
      <alignment horizontal="center" vertical="center"/>
      <protection/>
    </xf>
    <xf numFmtId="3" fontId="32" fillId="0" borderId="30" xfId="0" applyNumberFormat="1" applyFont="1" applyFill="1" applyBorder="1" applyAlignment="1" applyProtection="1">
      <alignment vertical="center" shrinkToFit="1"/>
      <protection locked="0"/>
    </xf>
    <xf numFmtId="182" fontId="32" fillId="0" borderId="30" xfId="0" applyNumberFormat="1" applyFont="1" applyFill="1" applyBorder="1" applyAlignment="1" applyProtection="1">
      <alignment horizontal="right" vertical="center"/>
      <protection hidden="1"/>
    </xf>
    <xf numFmtId="178" fontId="32" fillId="0" borderId="52" xfId="95" applyNumberFormat="1" applyFont="1" applyFill="1" applyBorder="1" applyAlignment="1">
      <alignment horizontal="center" vertical="center"/>
      <protection/>
    </xf>
    <xf numFmtId="182" fontId="32" fillId="0" borderId="52" xfId="0" applyNumberFormat="1" applyFont="1" applyFill="1" applyBorder="1" applyAlignment="1" applyProtection="1">
      <alignment horizontal="right" vertical="center"/>
      <protection hidden="1"/>
    </xf>
    <xf numFmtId="3" fontId="18" fillId="0" borderId="0" xfId="99" applyNumberFormat="1" applyFont="1" applyFill="1" applyBorder="1" applyAlignment="1" applyProtection="1">
      <alignment horizontal="right"/>
      <protection hidden="1"/>
    </xf>
    <xf numFmtId="0" fontId="27" fillId="57" borderId="73" xfId="75" applyFont="1" applyFill="1" applyBorder="1" applyAlignment="1" applyProtection="1">
      <alignment horizontal="center" vertical="center" wrapText="1"/>
      <protection hidden="1"/>
    </xf>
    <xf numFmtId="0" fontId="27" fillId="57" borderId="74" xfId="75" applyFont="1" applyFill="1" applyBorder="1" applyAlignment="1" applyProtection="1">
      <alignment horizontal="center" vertical="center" wrapText="1"/>
      <protection hidden="1"/>
    </xf>
    <xf numFmtId="178" fontId="32" fillId="0" borderId="72" xfId="0" applyNumberFormat="1" applyFont="1" applyFill="1" applyBorder="1" applyAlignment="1" applyProtection="1">
      <alignment horizontal="center" vertical="center"/>
      <protection hidden="1"/>
    </xf>
    <xf numFmtId="178" fontId="32" fillId="0" borderId="52" xfId="0" applyNumberFormat="1" applyFont="1" applyFill="1" applyBorder="1" applyAlignment="1" applyProtection="1">
      <alignment horizontal="center" vertical="center"/>
      <protection hidden="1"/>
    </xf>
    <xf numFmtId="3" fontId="32" fillId="0" borderId="72" xfId="0" applyNumberFormat="1" applyFont="1" applyFill="1" applyBorder="1" applyAlignment="1" applyProtection="1">
      <alignment horizontal="right" vertical="center" shrinkToFit="1"/>
      <protection hidden="1"/>
    </xf>
    <xf numFmtId="178" fontId="32" fillId="0" borderId="30" xfId="0" applyNumberFormat="1" applyFont="1" applyFill="1" applyBorder="1" applyAlignment="1" applyProtection="1">
      <alignment horizontal="center" vertical="center"/>
      <protection hidden="1"/>
    </xf>
    <xf numFmtId="3" fontId="32" fillId="0" borderId="30" xfId="0" applyNumberFormat="1" applyFont="1" applyFill="1" applyBorder="1" applyAlignment="1" applyProtection="1">
      <alignment horizontal="right" vertical="center" shrinkToFit="1"/>
      <protection hidden="1"/>
    </xf>
    <xf numFmtId="3" fontId="32" fillId="0" borderId="52" xfId="0" applyNumberFormat="1" applyFont="1" applyFill="1" applyBorder="1" applyAlignment="1" applyProtection="1">
      <alignment horizontal="right" vertical="center" shrinkToFit="1"/>
      <protection hidden="1"/>
    </xf>
    <xf numFmtId="0" fontId="55" fillId="58" borderId="22" xfId="96" applyFont="1" applyFill="1" applyBorder="1" applyAlignment="1" applyProtection="1">
      <alignment horizontal="center" vertical="center" wrapText="1"/>
      <protection hidden="1"/>
    </xf>
    <xf numFmtId="0" fontId="55" fillId="58" borderId="22" xfId="0" applyFont="1" applyFill="1" applyBorder="1" applyAlignment="1" applyProtection="1">
      <alignment horizontal="center" vertical="center" wrapText="1"/>
      <protection hidden="1"/>
    </xf>
    <xf numFmtId="0" fontId="56" fillId="0" borderId="22" xfId="0" applyFont="1" applyFill="1" applyBorder="1" applyAlignment="1" applyProtection="1">
      <alignment horizontal="center" vertical="center" wrapText="1"/>
      <protection hidden="1"/>
    </xf>
    <xf numFmtId="0" fontId="44" fillId="58" borderId="75" xfId="0" applyFont="1" applyFill="1" applyBorder="1" applyAlignment="1" applyProtection="1">
      <alignment horizontal="center" vertical="center" wrapText="1"/>
      <protection hidden="1"/>
    </xf>
    <xf numFmtId="0" fontId="27" fillId="56" borderId="73" xfId="75" applyFont="1" applyFill="1" applyBorder="1" applyAlignment="1" applyProtection="1">
      <alignment horizontal="center" vertical="center" wrapText="1"/>
      <protection hidden="1"/>
    </xf>
    <xf numFmtId="0" fontId="26" fillId="58" borderId="22" xfId="0" applyFont="1" applyFill="1" applyBorder="1" applyAlignment="1" applyProtection="1">
      <alignment horizontal="center" vertical="center" wrapText="1"/>
      <protection hidden="1"/>
    </xf>
    <xf numFmtId="14" fontId="40" fillId="0" borderId="61" xfId="98" applyNumberFormat="1" applyFont="1" applyBorder="1" applyAlignment="1" applyProtection="1">
      <alignment horizontal="left" vertical="center"/>
      <protection/>
    </xf>
    <xf numFmtId="0" fontId="18" fillId="0" borderId="76" xfId="0" applyFont="1" applyBorder="1" applyAlignment="1" applyProtection="1">
      <alignment horizontal="right" vertical="center" shrinkToFit="1"/>
      <protection/>
    </xf>
    <xf numFmtId="3" fontId="17" fillId="0" borderId="21" xfId="0" applyNumberFormat="1" applyFont="1" applyFill="1" applyBorder="1" applyAlignment="1" applyProtection="1">
      <alignment horizontal="center" vertical="center"/>
      <protection/>
    </xf>
    <xf numFmtId="194" fontId="17" fillId="0" borderId="41" xfId="99" applyNumberFormat="1" applyFont="1" applyFill="1" applyBorder="1" applyAlignment="1" applyProtection="1">
      <alignment horizontal="left"/>
      <protection hidden="1"/>
    </xf>
    <xf numFmtId="195" fontId="17"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7" fillId="0" borderId="41" xfId="102" applyNumberFormat="1" applyFont="1" applyBorder="1" applyAlignment="1" applyProtection="1">
      <alignment horizontal="center"/>
      <protection hidden="1"/>
    </xf>
    <xf numFmtId="1" fontId="17" fillId="0" borderId="41" xfId="99" applyNumberFormat="1" applyFont="1" applyFill="1" applyBorder="1" applyAlignment="1" applyProtection="1">
      <alignment horizontal="left"/>
      <protection hidden="1"/>
    </xf>
    <xf numFmtId="0" fontId="31" fillId="0" borderId="0" xfId="102" applyFont="1" applyProtection="1">
      <alignment/>
      <protection hidden="1"/>
    </xf>
    <xf numFmtId="0" fontId="31"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9" fillId="56" borderId="78" xfId="0" applyFont="1" applyFill="1" applyBorder="1" applyAlignment="1">
      <alignment horizontal="center" vertical="center"/>
    </xf>
    <xf numFmtId="0" fontId="59"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1" borderId="80" xfId="0" applyFill="1" applyBorder="1" applyAlignment="1">
      <alignment/>
    </xf>
    <xf numFmtId="0" fontId="4" fillId="41" borderId="81" xfId="0" applyFont="1" applyFill="1" applyBorder="1" applyAlignment="1">
      <alignment horizontal="right" vertical="center"/>
    </xf>
    <xf numFmtId="0" fontId="4" fillId="41" borderId="82" xfId="0" applyFont="1" applyFill="1" applyBorder="1" applyAlignment="1">
      <alignment horizontal="center" vertical="center"/>
    </xf>
    <xf numFmtId="0" fontId="15"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62" fillId="0" borderId="0" xfId="0" applyFont="1" applyFill="1" applyAlignment="1" applyProtection="1">
      <alignment horizontal="center" vertical="center" wrapText="1"/>
      <protection hidden="1"/>
    </xf>
    <xf numFmtId="0" fontId="52" fillId="0" borderId="0" xfId="0" applyFont="1" applyFill="1" applyAlignment="1">
      <alignment/>
    </xf>
    <xf numFmtId="0" fontId="52" fillId="0" borderId="0" xfId="0" applyFont="1" applyAlignment="1">
      <alignment horizontal="center" vertical="center" wrapText="1"/>
    </xf>
    <xf numFmtId="49" fontId="32" fillId="0" borderId="83" xfId="95" applyNumberFormat="1" applyFont="1" applyFill="1" applyBorder="1" applyAlignment="1">
      <alignment horizontal="left" vertical="center"/>
      <protection/>
    </xf>
    <xf numFmtId="178" fontId="32" fillId="0" borderId="84" xfId="95" applyNumberFormat="1" applyFont="1" applyFill="1" applyBorder="1" applyAlignment="1">
      <alignment horizontal="center" vertical="center"/>
      <protection/>
    </xf>
    <xf numFmtId="182" fontId="32" fillId="0" borderId="84" xfId="0" applyNumberFormat="1" applyFont="1" applyFill="1" applyBorder="1" applyAlignment="1" applyProtection="1">
      <alignment horizontal="right" vertical="center"/>
      <protection hidden="1"/>
    </xf>
    <xf numFmtId="49" fontId="41" fillId="0" borderId="85" xfId="95" applyNumberFormat="1" applyFont="1" applyFill="1" applyBorder="1" applyAlignment="1">
      <alignment horizontal="left" vertical="center"/>
      <protection/>
    </xf>
    <xf numFmtId="178" fontId="32" fillId="0" borderId="86" xfId="95" applyNumberFormat="1" applyFont="1" applyFill="1" applyBorder="1" applyAlignment="1">
      <alignment horizontal="center" vertical="center"/>
      <protection/>
    </xf>
    <xf numFmtId="182" fontId="32" fillId="0" borderId="86" xfId="0" applyNumberFormat="1" applyFont="1" applyFill="1" applyBorder="1" applyAlignment="1" applyProtection="1">
      <alignment horizontal="right" vertical="center"/>
      <protection hidden="1"/>
    </xf>
    <xf numFmtId="49" fontId="41" fillId="0" borderId="87" xfId="95" applyNumberFormat="1" applyFont="1" applyFill="1" applyBorder="1" applyAlignment="1">
      <alignment horizontal="left" vertical="center"/>
      <protection/>
    </xf>
    <xf numFmtId="178" fontId="32" fillId="0" borderId="28" xfId="95" applyNumberFormat="1" applyFont="1" applyFill="1" applyBorder="1" applyAlignment="1">
      <alignment horizontal="center" vertical="center"/>
      <protection/>
    </xf>
    <xf numFmtId="182" fontId="32" fillId="0" borderId="28" xfId="0" applyNumberFormat="1" applyFont="1" applyFill="1" applyBorder="1" applyAlignment="1" applyProtection="1">
      <alignment horizontal="right" vertical="center"/>
      <protection hidden="1"/>
    </xf>
    <xf numFmtId="14" fontId="63" fillId="55" borderId="36" xfId="0" applyNumberFormat="1" applyFont="1" applyFill="1" applyBorder="1" applyAlignment="1" applyProtection="1">
      <alignment horizontal="center" vertical="center"/>
      <protection locked="0"/>
    </xf>
    <xf numFmtId="0" fontId="54"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45" fillId="54" borderId="22" xfId="0" applyFont="1" applyFill="1" applyBorder="1" applyAlignment="1" applyProtection="1">
      <alignment horizontal="center" vertical="center" wrapText="1"/>
      <protection hidden="1"/>
    </xf>
    <xf numFmtId="3" fontId="32" fillId="55" borderId="50" xfId="0" applyNumberFormat="1" applyFont="1" applyFill="1" applyBorder="1" applyAlignment="1" applyProtection="1">
      <alignment vertical="center"/>
      <protection hidden="1"/>
    </xf>
    <xf numFmtId="3" fontId="32" fillId="55" borderId="71" xfId="0" applyNumberFormat="1" applyFont="1" applyFill="1" applyBorder="1" applyAlignment="1" applyProtection="1">
      <alignment vertical="center"/>
      <protection hidden="1"/>
    </xf>
    <xf numFmtId="3" fontId="32" fillId="55" borderId="84" xfId="0" applyNumberFormat="1" applyFont="1" applyFill="1" applyBorder="1" applyAlignment="1" applyProtection="1">
      <alignment vertical="center"/>
      <protection hidden="1"/>
    </xf>
    <xf numFmtId="3" fontId="32" fillId="55" borderId="28" xfId="0" applyNumberFormat="1" applyFont="1" applyFill="1" applyBorder="1" applyAlignment="1" applyProtection="1">
      <alignment vertical="center"/>
      <protection hidden="1"/>
    </xf>
    <xf numFmtId="3" fontId="32" fillId="55" borderId="52" xfId="0" applyNumberFormat="1" applyFont="1" applyFill="1" applyBorder="1" applyAlignment="1" applyProtection="1">
      <alignment vertical="center"/>
      <protection hidden="1"/>
    </xf>
    <xf numFmtId="3" fontId="32" fillId="55" borderId="29" xfId="0" applyNumberFormat="1" applyFont="1" applyFill="1" applyBorder="1" applyAlignment="1" applyProtection="1">
      <alignment vertical="center"/>
      <protection hidden="1"/>
    </xf>
    <xf numFmtId="3" fontId="32" fillId="55" borderId="30" xfId="0" applyNumberFormat="1" applyFont="1" applyFill="1" applyBorder="1" applyAlignment="1" applyProtection="1">
      <alignment vertical="center"/>
      <protection hidden="1"/>
    </xf>
    <xf numFmtId="3" fontId="32" fillId="55" borderId="31" xfId="0" applyNumberFormat="1" applyFont="1" applyFill="1" applyBorder="1" applyAlignment="1" applyProtection="1">
      <alignment vertical="center"/>
      <protection hidden="1"/>
    </xf>
    <xf numFmtId="0" fontId="61" fillId="59" borderId="21" xfId="0" applyNumberFormat="1" applyFont="1" applyFill="1" applyBorder="1" applyAlignment="1" applyProtection="1">
      <alignment horizontal="center" vertical="center"/>
      <protection hidden="1"/>
    </xf>
    <xf numFmtId="14" fontId="18" fillId="0" borderId="19" xfId="94" applyNumberFormat="1" applyFont="1" applyFill="1" applyBorder="1" applyAlignment="1" applyProtection="1">
      <alignment horizontal="center" vertical="center" wrapText="1"/>
      <protection hidden="1"/>
    </xf>
    <xf numFmtId="0" fontId="27"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29" fillId="55" borderId="21" xfId="0" applyNumberFormat="1" applyFont="1" applyFill="1" applyBorder="1" applyAlignment="1" applyProtection="1">
      <alignment horizontal="center" vertical="center"/>
      <protection hidden="1" locked="0"/>
    </xf>
    <xf numFmtId="0" fontId="32" fillId="0" borderId="29" xfId="95" applyNumberFormat="1" applyFont="1" applyFill="1" applyBorder="1" applyAlignment="1" applyProtection="1">
      <alignment horizontal="left" vertical="center"/>
      <protection/>
    </xf>
    <xf numFmtId="0" fontId="32" fillId="0" borderId="30" xfId="95" applyNumberFormat="1" applyFont="1" applyFill="1" applyBorder="1" applyAlignment="1" applyProtection="1">
      <alignment horizontal="left" vertical="center"/>
      <protection/>
    </xf>
    <xf numFmtId="0" fontId="32" fillId="0" borderId="31" xfId="95" applyNumberFormat="1" applyFont="1" applyFill="1" applyBorder="1" applyAlignment="1" applyProtection="1">
      <alignment horizontal="left" vertical="center"/>
      <protection/>
    </xf>
    <xf numFmtId="14" fontId="18"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9" fillId="60" borderId="89" xfId="0" applyFont="1" applyFill="1" applyBorder="1" applyAlignment="1">
      <alignment horizontal="left" wrapText="1"/>
    </xf>
    <xf numFmtId="0" fontId="37" fillId="0" borderId="90" xfId="0" applyFont="1" applyBorder="1" applyAlignment="1">
      <alignment wrapText="1"/>
    </xf>
    <xf numFmtId="0" fontId="37"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7" fillId="60" borderId="93" xfId="0" applyFont="1" applyFill="1" applyBorder="1" applyAlignment="1" applyProtection="1">
      <alignment wrapText="1"/>
      <protection hidden="1"/>
    </xf>
    <xf numFmtId="0" fontId="37" fillId="60" borderId="94" xfId="0" applyFont="1" applyFill="1" applyBorder="1" applyAlignment="1" applyProtection="1">
      <alignment wrapText="1"/>
      <protection hidden="1"/>
    </xf>
    <xf numFmtId="0" fontId="25"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4"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49" fillId="41" borderId="98" xfId="75" applyFont="1" applyFill="1" applyBorder="1" applyAlignment="1" applyProtection="1">
      <alignment horizontal="center" vertical="center" wrapText="1"/>
      <protection hidden="1"/>
    </xf>
    <xf numFmtId="0" fontId="49" fillId="0" borderId="99" xfId="75" applyFont="1" applyBorder="1" applyAlignment="1" applyProtection="1">
      <alignment horizontal="center" wrapText="1"/>
      <protection hidden="1"/>
    </xf>
    <xf numFmtId="0" fontId="49" fillId="0" borderId="100" xfId="75" applyFont="1" applyBorder="1" applyAlignment="1" applyProtection="1">
      <alignment horizontal="center" wrapText="1"/>
      <protection hidden="1"/>
    </xf>
    <xf numFmtId="0" fontId="65" fillId="60" borderId="101" xfId="0" applyFont="1" applyFill="1" applyBorder="1" applyAlignment="1" applyProtection="1">
      <alignment horizontal="left" vertical="center" wrapText="1"/>
      <protection hidden="1"/>
    </xf>
    <xf numFmtId="0" fontId="65" fillId="60" borderId="36" xfId="0" applyFont="1" applyFill="1" applyBorder="1" applyAlignment="1" applyProtection="1">
      <alignment vertical="center" wrapText="1"/>
      <protection hidden="1"/>
    </xf>
    <xf numFmtId="0" fontId="65" fillId="60" borderId="102" xfId="0" applyFont="1" applyFill="1" applyBorder="1" applyAlignment="1" applyProtection="1">
      <alignment vertical="center" wrapText="1"/>
      <protection hidden="1"/>
    </xf>
    <xf numFmtId="0" fontId="13" fillId="56" borderId="77" xfId="0" applyFont="1" applyFill="1" applyBorder="1" applyAlignment="1">
      <alignment horizontal="center" vertical="center"/>
    </xf>
    <xf numFmtId="0" fontId="14" fillId="56" borderId="0" xfId="0" applyFont="1" applyFill="1" applyBorder="1" applyAlignment="1">
      <alignment/>
    </xf>
    <xf numFmtId="0" fontId="0" fillId="56" borderId="0" xfId="0" applyFill="1" applyAlignment="1">
      <alignment/>
    </xf>
    <xf numFmtId="0" fontId="15" fillId="56" borderId="77" xfId="0" applyFont="1" applyFill="1" applyBorder="1" applyAlignment="1">
      <alignment horizontal="right" vertical="center"/>
    </xf>
    <xf numFmtId="0" fontId="29" fillId="41" borderId="80" xfId="0" applyFont="1" applyFill="1" applyBorder="1" applyAlignment="1" applyProtection="1">
      <alignment horizontal="left" vertical="center" wrapText="1"/>
      <protection hidden="1"/>
    </xf>
    <xf numFmtId="0" fontId="16" fillId="41" borderId="103" xfId="0" applyFont="1" applyFill="1" applyBorder="1" applyAlignment="1" applyProtection="1">
      <alignment horizontal="left" vertical="center" wrapText="1"/>
      <protection hidden="1"/>
    </xf>
    <xf numFmtId="0" fontId="16" fillId="41" borderId="81" xfId="0" applyFont="1" applyFill="1" applyBorder="1" applyAlignment="1" applyProtection="1">
      <alignment horizontal="left" vertical="center" wrapText="1"/>
      <protection hidden="1"/>
    </xf>
    <xf numFmtId="0" fontId="60" fillId="0" borderId="89" xfId="0" applyFont="1" applyBorder="1" applyAlignment="1" applyProtection="1">
      <alignment horizontal="justify" vertical="center" wrapText="1"/>
      <protection hidden="1"/>
    </xf>
    <xf numFmtId="0" fontId="60" fillId="0" borderId="90" xfId="0" applyFont="1" applyBorder="1" applyAlignment="1" applyProtection="1">
      <alignment horizontal="justify" vertical="center"/>
      <protection hidden="1"/>
    </xf>
    <xf numFmtId="0" fontId="60" fillId="0" borderId="91" xfId="0" applyFont="1" applyBorder="1" applyAlignment="1" applyProtection="1">
      <alignment horizontal="justify" vertical="center"/>
      <protection hidden="1"/>
    </xf>
    <xf numFmtId="0" fontId="60" fillId="0" borderId="80" xfId="0" applyFont="1" applyBorder="1" applyAlignment="1" applyProtection="1">
      <alignment horizontal="justify" vertical="center" wrapText="1"/>
      <protection hidden="1"/>
    </xf>
    <xf numFmtId="0" fontId="60" fillId="0" borderId="103" xfId="0" applyFont="1" applyBorder="1" applyAlignment="1" applyProtection="1">
      <alignment horizontal="justify" vertical="center"/>
      <protection hidden="1"/>
    </xf>
    <xf numFmtId="0" fontId="60" fillId="0" borderId="81" xfId="0" applyFont="1" applyBorder="1" applyAlignment="1" applyProtection="1">
      <alignment horizontal="justify" vertical="center"/>
      <protection hidden="1"/>
    </xf>
    <xf numFmtId="0" fontId="18" fillId="60" borderId="80" xfId="0" applyFont="1" applyFill="1" applyBorder="1" applyAlignment="1" applyProtection="1">
      <alignment horizontal="left" vertical="center" wrapText="1"/>
      <protection hidden="1"/>
    </xf>
    <xf numFmtId="0" fontId="18" fillId="60" borderId="103" xfId="0" applyFont="1" applyFill="1" applyBorder="1" applyAlignment="1" applyProtection="1">
      <alignment horizontal="left" vertical="center" wrapText="1"/>
      <protection hidden="1"/>
    </xf>
    <xf numFmtId="0" fontId="18" fillId="60" borderId="81" xfId="0" applyFont="1" applyFill="1" applyBorder="1" applyAlignment="1" applyProtection="1">
      <alignment horizontal="left" vertical="center" wrapText="1"/>
      <protection hidden="1"/>
    </xf>
    <xf numFmtId="0" fontId="40" fillId="0" borderId="77" xfId="0" applyFont="1" applyBorder="1" applyAlignment="1" applyProtection="1">
      <alignment horizontal="justify" vertical="center" wrapText="1"/>
      <protection hidden="1"/>
    </xf>
    <xf numFmtId="0" fontId="60" fillId="0" borderId="0" xfId="0" applyFont="1" applyBorder="1" applyAlignment="1" applyProtection="1">
      <alignment horizontal="justify" vertical="center"/>
      <protection hidden="1"/>
    </xf>
    <xf numFmtId="0" fontId="60" fillId="0" borderId="76" xfId="0" applyFont="1" applyBorder="1" applyAlignment="1" applyProtection="1">
      <alignment horizontal="justify" vertical="center"/>
      <protection hidden="1"/>
    </xf>
    <xf numFmtId="0" fontId="60" fillId="0" borderId="77" xfId="0" applyFont="1" applyBorder="1" applyAlignment="1" applyProtection="1">
      <alignment horizontal="justify" vertical="center" wrapText="1"/>
      <protection hidden="1"/>
    </xf>
    <xf numFmtId="0" fontId="3" fillId="41" borderId="101" xfId="0" applyFont="1" applyFill="1" applyBorder="1" applyAlignment="1" applyProtection="1">
      <alignment horizontal="justify" vertical="center" wrapText="1"/>
      <protection hidden="1"/>
    </xf>
    <xf numFmtId="0" fontId="18" fillId="41" borderId="36" xfId="0" applyFont="1" applyFill="1" applyBorder="1" applyAlignment="1" applyProtection="1">
      <alignment horizontal="justify" vertical="center"/>
      <protection hidden="1"/>
    </xf>
    <xf numFmtId="0" fontId="18" fillId="41" borderId="102"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76" xfId="0" applyFont="1" applyBorder="1" applyAlignment="1" applyProtection="1">
      <alignment horizontal="justify" vertical="center" wrapText="1"/>
      <protection hidden="1"/>
    </xf>
    <xf numFmtId="0" fontId="32" fillId="0" borderId="30" xfId="0" applyNumberFormat="1" applyFont="1" applyFill="1" applyBorder="1" applyAlignment="1" applyProtection="1">
      <alignment horizontal="left" vertical="center" shrinkToFit="1"/>
      <protection hidden="1"/>
    </xf>
    <xf numFmtId="0" fontId="32" fillId="0" borderId="30" xfId="0" applyNumberFormat="1" applyFont="1" applyBorder="1" applyAlignment="1">
      <alignment shrinkToFit="1"/>
    </xf>
    <xf numFmtId="4" fontId="25" fillId="55" borderId="80" xfId="99" applyNumberFormat="1" applyFont="1" applyFill="1" applyBorder="1" applyAlignment="1" applyProtection="1">
      <alignment horizontal="center" vertical="center"/>
      <protection hidden="1"/>
    </xf>
    <xf numFmtId="0" fontId="18" fillId="0" borderId="81" xfId="0" applyFont="1" applyBorder="1" applyAlignment="1" applyProtection="1">
      <alignment horizontal="center" vertical="center"/>
      <protection hidden="1"/>
    </xf>
    <xf numFmtId="0" fontId="17" fillId="0" borderId="0" xfId="99" applyFont="1" applyBorder="1" applyAlignment="1" applyProtection="1">
      <alignment horizontal="right" vertical="center"/>
      <protection/>
    </xf>
    <xf numFmtId="0" fontId="0" fillId="0" borderId="76" xfId="0" applyBorder="1" applyAlignment="1">
      <alignment/>
    </xf>
    <xf numFmtId="49" fontId="32" fillId="0" borderId="52" xfId="0" applyNumberFormat="1" applyFont="1" applyFill="1" applyBorder="1" applyAlignment="1" applyProtection="1">
      <alignment horizontal="left" vertical="center" wrapText="1"/>
      <protection hidden="1"/>
    </xf>
    <xf numFmtId="0" fontId="32" fillId="0" borderId="52" xfId="0" applyNumberFormat="1" applyFont="1" applyBorder="1" applyAlignment="1">
      <alignment wrapText="1"/>
    </xf>
    <xf numFmtId="0" fontId="26" fillId="58" borderId="22" xfId="0" applyFont="1" applyFill="1" applyBorder="1" applyAlignment="1" applyProtection="1">
      <alignment horizontal="center" vertical="center" wrapText="1"/>
      <protection hidden="1"/>
    </xf>
    <xf numFmtId="0" fontId="32" fillId="0" borderId="72" xfId="0" applyNumberFormat="1" applyFont="1" applyFill="1" applyBorder="1" applyAlignment="1" applyProtection="1">
      <alignment horizontal="left" vertical="center" shrinkToFit="1"/>
      <protection hidden="1"/>
    </xf>
    <xf numFmtId="0" fontId="32" fillId="0" borderId="72" xfId="0" applyNumberFormat="1" applyFont="1" applyBorder="1" applyAlignment="1">
      <alignment shrinkToFit="1"/>
    </xf>
    <xf numFmtId="49" fontId="32" fillId="0" borderId="72" xfId="0" applyNumberFormat="1" applyFont="1" applyFill="1" applyBorder="1" applyAlignment="1" applyProtection="1">
      <alignment horizontal="left" vertical="center" wrapText="1"/>
      <protection hidden="1"/>
    </xf>
    <xf numFmtId="0" fontId="32" fillId="0" borderId="72" xfId="0" applyNumberFormat="1" applyFont="1" applyBorder="1" applyAlignment="1">
      <alignment wrapText="1"/>
    </xf>
    <xf numFmtId="0" fontId="24" fillId="0" borderId="0" xfId="0" applyFont="1" applyFill="1" applyAlignment="1" applyProtection="1">
      <alignment horizontal="right" vertical="top"/>
      <protection hidden="1"/>
    </xf>
    <xf numFmtId="0" fontId="0" fillId="0" borderId="0" xfId="0" applyAlignment="1">
      <alignment/>
    </xf>
    <xf numFmtId="1" fontId="29"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2"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8"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66" fillId="0" borderId="77" xfId="99" applyNumberFormat="1" applyFont="1" applyFill="1" applyBorder="1" applyAlignment="1" applyProtection="1">
      <alignment horizontal="left" wrapText="1" shrinkToFit="1"/>
      <protection hidden="1"/>
    </xf>
    <xf numFmtId="0" fontId="67" fillId="0" borderId="0" xfId="0" applyNumberFormat="1" applyFont="1" applyAlignment="1" applyProtection="1">
      <alignment horizontal="left" wrapText="1" shrinkToFit="1"/>
      <protection hidden="1"/>
    </xf>
    <xf numFmtId="0" fontId="66" fillId="0" borderId="104" xfId="0" applyFont="1" applyFill="1" applyBorder="1" applyAlignment="1" applyProtection="1">
      <alignment horizontal="center" vertical="center"/>
      <protection hidden="1"/>
    </xf>
    <xf numFmtId="0" fontId="66" fillId="0" borderId="105"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55" borderId="101" xfId="0" applyNumberFormat="1" applyFont="1" applyFill="1" applyBorder="1" applyAlignment="1" applyProtection="1">
      <alignment horizontal="left" vertical="center"/>
      <protection locked="0"/>
    </xf>
    <xf numFmtId="49" fontId="29" fillId="55" borderId="36" xfId="0" applyNumberFormat="1" applyFont="1" applyFill="1" applyBorder="1" applyAlignment="1" applyProtection="1">
      <alignment horizontal="left" vertical="center"/>
      <protection locked="0"/>
    </xf>
    <xf numFmtId="49" fontId="29" fillId="55" borderId="102" xfId="0" applyNumberFormat="1" applyFont="1" applyFill="1" applyBorder="1" applyAlignment="1" applyProtection="1">
      <alignment horizontal="left" vertical="center"/>
      <protection locked="0"/>
    </xf>
    <xf numFmtId="49" fontId="29"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2" fillId="0" borderId="72" xfId="0" applyNumberFormat="1" applyFont="1" applyFill="1" applyBorder="1" applyAlignment="1" applyProtection="1">
      <alignment horizontal="left" vertical="center" wrapText="1"/>
      <protection hidden="1"/>
    </xf>
    <xf numFmtId="0" fontId="32" fillId="0" borderId="52" xfId="0" applyNumberFormat="1" applyFont="1" applyBorder="1" applyAlignment="1">
      <alignment wrapText="1"/>
    </xf>
    <xf numFmtId="14" fontId="29"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2" fillId="0" borderId="30" xfId="0" applyNumberFormat="1" applyFont="1" applyFill="1" applyBorder="1" applyAlignment="1" applyProtection="1">
      <alignment horizontal="left" vertical="center" wrapText="1"/>
      <protection hidden="1"/>
    </xf>
    <xf numFmtId="0" fontId="32"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2" fillId="0" borderId="106" xfId="0" applyNumberFormat="1" applyFont="1" applyFill="1" applyBorder="1" applyAlignment="1" applyProtection="1">
      <alignment horizontal="left" vertical="center" wrapText="1"/>
      <protection/>
    </xf>
    <xf numFmtId="0" fontId="15" fillId="61" borderId="87" xfId="96" applyFont="1" applyFill="1" applyBorder="1" applyAlignment="1">
      <alignment horizontal="left" vertical="center" wrapText="1"/>
      <protection/>
    </xf>
    <xf numFmtId="0" fontId="14" fillId="61" borderId="107" xfId="0" applyFont="1" applyFill="1" applyBorder="1" applyAlignment="1">
      <alignment horizontal="left" vertical="center"/>
    </xf>
    <xf numFmtId="0" fontId="14" fillId="61" borderId="108" xfId="0" applyFont="1" applyFill="1" applyBorder="1" applyAlignment="1">
      <alignment horizontal="left" vertical="center"/>
    </xf>
    <xf numFmtId="0" fontId="32" fillId="0" borderId="109" xfId="0" applyNumberFormat="1" applyFont="1" applyFill="1" applyBorder="1" applyAlignment="1" applyProtection="1">
      <alignment horizontal="left" vertical="center" wrapText="1"/>
      <protection/>
    </xf>
    <xf numFmtId="0" fontId="32" fillId="0" borderId="110" xfId="0" applyNumberFormat="1" applyFont="1" applyFill="1" applyBorder="1" applyAlignment="1" applyProtection="1">
      <alignment horizontal="left" vertical="center" wrapText="1"/>
      <protection/>
    </xf>
    <xf numFmtId="0" fontId="32" fillId="0" borderId="111" xfId="99" applyNumberFormat="1" applyFont="1" applyFill="1" applyBorder="1" applyAlignment="1" applyProtection="1">
      <alignment horizontal="left" vertical="center" wrapText="1"/>
      <protection/>
    </xf>
    <xf numFmtId="0" fontId="32" fillId="0" borderId="112" xfId="99" applyNumberFormat="1" applyFont="1" applyFill="1" applyBorder="1" applyAlignment="1" applyProtection="1">
      <alignment horizontal="left" vertical="center" wrapText="1"/>
      <protection/>
    </xf>
    <xf numFmtId="0" fontId="40" fillId="0" borderId="0" xfId="98" applyNumberFormat="1" applyFont="1" applyBorder="1" applyAlignment="1" applyProtection="1">
      <alignment horizontal="left" vertical="center"/>
      <protection/>
    </xf>
    <xf numFmtId="0" fontId="20" fillId="0" borderId="0" xfId="0" applyFont="1" applyAlignment="1" applyProtection="1">
      <alignment horizontal="left" vertical="center"/>
      <protection/>
    </xf>
    <xf numFmtId="0" fontId="0" fillId="0" borderId="0" xfId="0" applyAlignment="1">
      <alignment vertical="center"/>
    </xf>
    <xf numFmtId="0" fontId="32" fillId="0" borderId="30" xfId="0" applyNumberFormat="1" applyFont="1" applyFill="1" applyBorder="1" applyAlignment="1" applyProtection="1">
      <alignment horizontal="left" vertical="center" wrapText="1"/>
      <protection/>
    </xf>
    <xf numFmtId="49" fontId="32"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7" fillId="56" borderId="33" xfId="96" applyFont="1" applyFill="1" applyBorder="1" applyAlignment="1">
      <alignment horizontal="center" vertical="center"/>
      <protection/>
    </xf>
    <xf numFmtId="0" fontId="15" fillId="56" borderId="33" xfId="0" applyFont="1" applyFill="1" applyBorder="1" applyAlignment="1">
      <alignment horizontal="center" vertical="center"/>
    </xf>
    <xf numFmtId="0" fontId="32" fillId="0" borderId="30" xfId="0" applyNumberFormat="1" applyFont="1" applyFill="1" applyBorder="1" applyAlignment="1" applyProtection="1">
      <alignment horizontal="left" vertical="center" shrinkToFit="1"/>
      <protection/>
    </xf>
    <xf numFmtId="3" fontId="18" fillId="0" borderId="0" xfId="9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17" fillId="0" borderId="0" xfId="99" applyNumberFormat="1" applyFont="1" applyFill="1" applyBorder="1" applyAlignment="1" applyProtection="1">
      <alignment horizontal="left" vertical="center"/>
      <protection/>
    </xf>
    <xf numFmtId="0" fontId="32" fillId="0" borderId="116" xfId="99" applyNumberFormat="1" applyFont="1" applyFill="1" applyBorder="1" applyAlignment="1" applyProtection="1">
      <alignment horizontal="left" vertical="center" wrapText="1"/>
      <protection/>
    </xf>
    <xf numFmtId="0" fontId="32" fillId="0" borderId="30" xfId="99" applyNumberFormat="1" applyFont="1" applyFill="1" applyBorder="1" applyAlignment="1" applyProtection="1">
      <alignment horizontal="left" vertical="center" wrapText="1"/>
      <protection/>
    </xf>
    <xf numFmtId="0" fontId="26" fillId="50" borderId="87" xfId="96" applyFont="1" applyFill="1" applyBorder="1" applyAlignment="1">
      <alignment horizontal="center" vertical="center"/>
      <protection/>
    </xf>
    <xf numFmtId="0" fontId="4" fillId="50" borderId="107" xfId="0" applyFont="1" applyFill="1" applyBorder="1" applyAlignment="1">
      <alignment horizontal="center" vertical="center"/>
    </xf>
    <xf numFmtId="0" fontId="32" fillId="0" borderId="30" xfId="99" applyNumberFormat="1" applyFont="1" applyFill="1" applyBorder="1" applyAlignment="1" applyProtection="1">
      <alignment horizontal="left" vertical="top" wrapText="1"/>
      <protection/>
    </xf>
    <xf numFmtId="0" fontId="32" fillId="0" borderId="117" xfId="99" applyNumberFormat="1" applyFont="1" applyFill="1" applyBorder="1" applyAlignment="1" applyProtection="1">
      <alignment horizontal="left" vertical="center" wrapText="1"/>
      <protection/>
    </xf>
    <xf numFmtId="0" fontId="32" fillId="0" borderId="118" xfId="99" applyNumberFormat="1" applyFont="1" applyFill="1" applyBorder="1" applyAlignment="1" applyProtection="1">
      <alignment horizontal="left" vertical="center" wrapText="1"/>
      <protection/>
    </xf>
    <xf numFmtId="0" fontId="32" fillId="0" borderId="119" xfId="99" applyNumberFormat="1" applyFont="1" applyFill="1" applyBorder="1" applyAlignment="1" applyProtection="1">
      <alignment horizontal="left" vertical="center" wrapText="1"/>
      <protection/>
    </xf>
    <xf numFmtId="0" fontId="32" fillId="0" borderId="120" xfId="99" applyNumberFormat="1" applyFont="1" applyFill="1" applyBorder="1" applyAlignment="1" applyProtection="1">
      <alignment horizontal="left" vertical="center" wrapText="1"/>
      <protection/>
    </xf>
    <xf numFmtId="0" fontId="32" fillId="0" borderId="121" xfId="99" applyNumberFormat="1" applyFont="1" applyFill="1" applyBorder="1" applyAlignment="1" applyProtection="1">
      <alignment horizontal="left" vertical="center" wrapText="1"/>
      <protection/>
    </xf>
    <xf numFmtId="0" fontId="15" fillId="56" borderId="122" xfId="0" applyFont="1" applyFill="1" applyBorder="1" applyAlignment="1">
      <alignment horizontal="center" vertical="center" wrapText="1"/>
    </xf>
    <xf numFmtId="0" fontId="14" fillId="56" borderId="123" xfId="0" applyFont="1" applyFill="1" applyBorder="1" applyAlignment="1">
      <alignment horizontal="center" vertical="center" wrapText="1"/>
    </xf>
    <xf numFmtId="0" fontId="14" fillId="56" borderId="124" xfId="0" applyFont="1" applyFill="1" applyBorder="1" applyAlignment="1">
      <alignment horizontal="center" vertical="center" wrapText="1"/>
    </xf>
    <xf numFmtId="0" fontId="14" fillId="56" borderId="85" xfId="0" applyFont="1" applyFill="1" applyBorder="1" applyAlignment="1">
      <alignment horizontal="center" vertical="center" wrapText="1"/>
    </xf>
    <xf numFmtId="0" fontId="14" fillId="56" borderId="125" xfId="0" applyFont="1" applyFill="1" applyBorder="1" applyAlignment="1">
      <alignment horizontal="center" vertical="center" wrapText="1"/>
    </xf>
    <xf numFmtId="0" fontId="14"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8" fillId="0" borderId="0" xfId="99" applyFont="1" applyBorder="1" applyAlignment="1" applyProtection="1">
      <alignment horizontal="right"/>
      <protection hidden="1"/>
    </xf>
    <xf numFmtId="192" fontId="17" fillId="0" borderId="41" xfId="99" applyNumberFormat="1" applyFont="1" applyFill="1" applyBorder="1" applyAlignment="1" applyProtection="1">
      <alignment horizontal="left"/>
      <protection hidden="1"/>
    </xf>
    <xf numFmtId="192" fontId="18" fillId="0" borderId="41" xfId="0" applyNumberFormat="1" applyFont="1" applyBorder="1" applyAlignment="1" applyProtection="1">
      <alignment horizontal="left"/>
      <protection hidden="1"/>
    </xf>
    <xf numFmtId="0" fontId="27" fillId="56" borderId="127" xfId="96" applyFont="1" applyFill="1" applyBorder="1" applyAlignment="1">
      <alignment horizontal="center" vertical="center" wrapText="1"/>
      <protection/>
    </xf>
    <xf numFmtId="0" fontId="14" fillId="56" borderId="127" xfId="0" applyFont="1" applyFill="1" applyBorder="1" applyAlignment="1">
      <alignment horizontal="center" vertical="center" wrapText="1"/>
    </xf>
    <xf numFmtId="0" fontId="27" fillId="56" borderId="128" xfId="0" applyFont="1" applyFill="1" applyBorder="1" applyAlignment="1">
      <alignment horizontal="center" vertical="center" wrapText="1"/>
    </xf>
    <xf numFmtId="0" fontId="14" fillId="56" borderId="129" xfId="0" applyFont="1" applyFill="1" applyBorder="1" applyAlignment="1">
      <alignment horizontal="center" vertical="center" wrapText="1"/>
    </xf>
    <xf numFmtId="3" fontId="17" fillId="0" borderId="41" xfId="99" applyNumberFormat="1" applyFont="1" applyFill="1" applyBorder="1" applyAlignment="1" applyProtection="1">
      <alignment horizontal="left"/>
      <protection hidden="1"/>
    </xf>
    <xf numFmtId="0" fontId="18" fillId="0" borderId="41" xfId="0" applyFont="1" applyBorder="1" applyAlignment="1" applyProtection="1">
      <alignment horizontal="left"/>
      <protection hidden="1"/>
    </xf>
    <xf numFmtId="0" fontId="17" fillId="0" borderId="0" xfId="99" applyFont="1" applyFill="1" applyBorder="1" applyAlignment="1" applyProtection="1">
      <alignment horizontal="left" vertical="center"/>
      <protection/>
    </xf>
    <xf numFmtId="49" fontId="29" fillId="0" borderId="0" xfId="99" applyNumberFormat="1" applyFont="1" applyFill="1" applyBorder="1" applyAlignment="1" applyProtection="1">
      <alignment horizontal="left" vertical="center"/>
      <protection locked="0"/>
    </xf>
    <xf numFmtId="3" fontId="17" fillId="0" borderId="0" xfId="98" applyNumberFormat="1" applyFont="1" applyBorder="1" applyAlignment="1" applyProtection="1">
      <alignment horizontal="center" vertical="center"/>
      <protection/>
    </xf>
    <xf numFmtId="0" fontId="17" fillId="0" borderId="41" xfId="102" applyNumberFormat="1" applyFont="1" applyBorder="1" applyAlignment="1" applyProtection="1">
      <alignment horizontal="left"/>
      <protection hidden="1"/>
    </xf>
    <xf numFmtId="0" fontId="17" fillId="0" borderId="41" xfId="0" applyNumberFormat="1" applyFont="1" applyBorder="1" applyAlignment="1" applyProtection="1">
      <alignment horizontal="left"/>
      <protection hidden="1"/>
    </xf>
    <xf numFmtId="0" fontId="14" fillId="56" borderId="32" xfId="0" applyFont="1" applyFill="1" applyBorder="1" applyAlignment="1">
      <alignment horizontal="center" vertical="center" wrapText="1"/>
    </xf>
    <xf numFmtId="0" fontId="40" fillId="0" borderId="61" xfId="98" applyNumberFormat="1" applyFont="1" applyBorder="1" applyAlignment="1" applyProtection="1">
      <alignment horizontal="left" vertical="center"/>
      <protection/>
    </xf>
    <xf numFmtId="0" fontId="47" fillId="0" borderId="0" xfId="105" applyFont="1" applyAlignment="1" applyProtection="1">
      <alignment horizontal="right"/>
      <protection hidden="1"/>
    </xf>
    <xf numFmtId="0" fontId="43" fillId="0" borderId="0" xfId="0" applyFont="1" applyAlignment="1" applyProtection="1">
      <alignment horizontal="center"/>
      <protection hidden="1"/>
    </xf>
    <xf numFmtId="0" fontId="18"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3" fillId="0" borderId="130" xfId="0" applyFont="1" applyFill="1" applyBorder="1" applyAlignment="1" applyProtection="1">
      <alignment horizontal="center" vertical="center" wrapText="1"/>
      <protection hidden="1"/>
    </xf>
    <xf numFmtId="0" fontId="53" fillId="0" borderId="82" xfId="0" applyFont="1" applyFill="1" applyBorder="1" applyAlignment="1" applyProtection="1">
      <alignment horizontal="center" vertical="center" wrapText="1"/>
      <protection hidden="1"/>
    </xf>
    <xf numFmtId="0" fontId="9" fillId="50" borderId="130" xfId="0" applyFont="1" applyFill="1" applyBorder="1" applyAlignment="1" applyProtection="1">
      <alignment horizontal="center" vertical="center" wrapText="1"/>
      <protection hidden="1"/>
    </xf>
    <xf numFmtId="0" fontId="50" fillId="50" borderId="82" xfId="0" applyFont="1" applyFill="1" applyBorder="1" applyAlignment="1" applyProtection="1">
      <alignment horizontal="center" vertical="center" wrapText="1"/>
      <protection hidden="1"/>
    </xf>
    <xf numFmtId="0" fontId="18" fillId="0" borderId="0" xfId="0" applyFont="1" applyAlignment="1" applyProtection="1">
      <alignment horizontal="right"/>
      <protection hidden="1"/>
    </xf>
    <xf numFmtId="1" fontId="17" fillId="0" borderId="41" xfId="102" applyNumberFormat="1" applyFont="1" applyBorder="1" applyAlignment="1" applyProtection="1">
      <alignment horizontal="left" vertical="center"/>
      <protection hidden="1"/>
    </xf>
    <xf numFmtId="0" fontId="17" fillId="0" borderId="41" xfId="102" applyFont="1" applyBorder="1" applyAlignment="1" applyProtection="1">
      <alignment horizontal="left" vertical="center"/>
      <protection hidden="1"/>
    </xf>
    <xf numFmtId="0" fontId="32" fillId="0" borderId="131" xfId="99" applyNumberFormat="1" applyFont="1" applyFill="1" applyBorder="1" applyAlignment="1" applyProtection="1">
      <alignment horizontal="left" vertical="center" wrapText="1"/>
      <protection/>
    </xf>
    <xf numFmtId="0" fontId="32" fillId="0" borderId="132" xfId="99" applyNumberFormat="1" applyFont="1" applyFill="1" applyBorder="1" applyAlignment="1" applyProtection="1">
      <alignment horizontal="left" vertical="center" wrapText="1"/>
      <protection/>
    </xf>
    <xf numFmtId="0" fontId="32" fillId="0" borderId="59" xfId="99" applyNumberFormat="1" applyFont="1" applyFill="1" applyBorder="1" applyAlignment="1" applyProtection="1">
      <alignment horizontal="left" vertical="center" wrapText="1"/>
      <protection/>
    </xf>
    <xf numFmtId="0" fontId="15" fillId="56" borderId="87" xfId="0" applyFont="1" applyFill="1" applyBorder="1" applyAlignment="1">
      <alignment horizontal="center" vertical="center" wrapText="1"/>
    </xf>
    <xf numFmtId="0" fontId="14" fillId="56" borderId="107" xfId="0" applyFont="1" applyFill="1" applyBorder="1" applyAlignment="1">
      <alignment horizontal="center" vertical="center" wrapText="1"/>
    </xf>
    <xf numFmtId="0" fontId="14" fillId="56" borderId="133" xfId="0" applyFont="1" applyFill="1" applyBorder="1" applyAlignment="1">
      <alignment horizontal="center" vertical="center" wrapText="1"/>
    </xf>
    <xf numFmtId="0" fontId="17" fillId="0" borderId="134" xfId="99" applyNumberFormat="1" applyFont="1" applyFill="1" applyBorder="1" applyAlignment="1" applyProtection="1">
      <alignment horizontal="left" vertical="center"/>
      <protection/>
    </xf>
    <xf numFmtId="0" fontId="40" fillId="0" borderId="134" xfId="98" applyNumberFormat="1" applyFont="1" applyBorder="1" applyAlignment="1" applyProtection="1">
      <alignment horizontal="left" vertical="center"/>
      <protection/>
    </xf>
    <xf numFmtId="0" fontId="17" fillId="0" borderId="61" xfId="99" applyNumberFormat="1" applyFont="1" applyFill="1" applyBorder="1" applyAlignment="1" applyProtection="1">
      <alignment horizontal="left" vertical="center"/>
      <protection/>
    </xf>
    <xf numFmtId="0" fontId="32" fillId="0" borderId="135" xfId="0" applyNumberFormat="1" applyFont="1" applyFill="1" applyBorder="1" applyAlignment="1" applyProtection="1">
      <alignment horizontal="left" vertical="center" shrinkToFit="1"/>
      <protection/>
    </xf>
    <xf numFmtId="0" fontId="32" fillId="0" borderId="136" xfId="0" applyNumberFormat="1" applyFont="1" applyFill="1" applyBorder="1" applyAlignment="1" applyProtection="1">
      <alignment horizontal="left" vertical="center" shrinkToFit="1"/>
      <protection/>
    </xf>
    <xf numFmtId="0" fontId="32" fillId="0" borderId="56" xfId="0" applyNumberFormat="1" applyFont="1" applyFill="1" applyBorder="1" applyAlignment="1" applyProtection="1">
      <alignment horizontal="left" vertical="center" shrinkToFit="1"/>
      <protection/>
    </xf>
    <xf numFmtId="49" fontId="32" fillId="0" borderId="135" xfId="102" applyNumberFormat="1" applyFont="1" applyFill="1" applyBorder="1" applyAlignment="1" applyProtection="1">
      <alignment horizontal="left" vertical="center" wrapText="1"/>
      <protection hidden="1"/>
    </xf>
    <xf numFmtId="0" fontId="52" fillId="0" borderId="136" xfId="102" applyFont="1" applyBorder="1" applyAlignment="1">
      <alignment horizontal="left" vertical="center" wrapText="1"/>
      <protection/>
    </xf>
    <xf numFmtId="49" fontId="41"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41"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0" fontId="15" fillId="61" borderId="85" xfId="96" applyFont="1" applyFill="1" applyBorder="1" applyAlignment="1">
      <alignment horizontal="left" vertical="center" wrapText="1"/>
      <protection/>
    </xf>
    <xf numFmtId="0" fontId="14" fillId="61" borderId="125" xfId="0" applyFont="1" applyFill="1" applyBorder="1" applyAlignment="1">
      <alignment horizontal="left" vertical="center"/>
    </xf>
    <xf numFmtId="0" fontId="14" fillId="61" borderId="139" xfId="0" applyFont="1" applyFill="1" applyBorder="1" applyAlignment="1">
      <alignment horizontal="left" vertical="center"/>
    </xf>
    <xf numFmtId="49" fontId="32" fillId="0" borderId="131" xfId="102" applyNumberFormat="1" applyFont="1" applyFill="1" applyBorder="1" applyAlignment="1" applyProtection="1">
      <alignment horizontal="left" vertical="center" wrapText="1"/>
      <protection hidden="1"/>
    </xf>
    <xf numFmtId="0" fontId="52" fillId="0" borderId="132" xfId="102" applyFont="1" applyBorder="1" applyAlignment="1">
      <alignment horizontal="left" vertical="center" wrapText="1"/>
      <protection/>
    </xf>
    <xf numFmtId="0" fontId="0" fillId="0" borderId="136" xfId="102" applyFont="1" applyBorder="1" applyAlignment="1">
      <alignment horizontal="left" vertical="center" wrapText="1"/>
      <protection/>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2" fillId="0" borderId="137" xfId="102" applyNumberFormat="1" applyFont="1" applyFill="1" applyBorder="1" applyAlignment="1" applyProtection="1">
      <alignment horizontal="left" vertical="center" wrapText="1"/>
      <protection hidden="1"/>
    </xf>
    <xf numFmtId="0" fontId="52" fillId="0" borderId="138" xfId="102" applyFont="1" applyBorder="1" applyAlignment="1">
      <alignment horizontal="left" vertical="center" wrapText="1"/>
      <protection/>
    </xf>
    <xf numFmtId="49" fontId="32" fillId="0" borderId="136" xfId="0" applyNumberFormat="1" applyFont="1" applyBorder="1" applyAlignment="1" applyProtection="1">
      <alignment horizontal="left" vertical="center" wrapText="1"/>
      <protection/>
    </xf>
    <xf numFmtId="0" fontId="32" fillId="0" borderId="136" xfId="0" applyFont="1" applyBorder="1" applyAlignment="1">
      <alignment horizontal="left" vertical="center" wrapText="1"/>
    </xf>
    <xf numFmtId="0" fontId="32"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2" fillId="0" borderId="56" xfId="0" applyFont="1" applyBorder="1" applyAlignment="1">
      <alignment horizontal="left" vertical="center" wrapText="1"/>
    </xf>
    <xf numFmtId="49" fontId="32" fillId="0" borderId="138" xfId="0" applyNumberFormat="1" applyFont="1" applyBorder="1" applyAlignment="1" applyProtection="1">
      <alignment horizontal="left" vertical="center" wrapText="1"/>
      <protection/>
    </xf>
    <xf numFmtId="0" fontId="32" fillId="0" borderId="138" xfId="0" applyFont="1" applyBorder="1" applyAlignment="1">
      <alignment horizontal="left" vertical="center" wrapText="1"/>
    </xf>
    <xf numFmtId="0" fontId="32" fillId="0" borderId="47" xfId="0" applyFont="1" applyBorder="1" applyAlignment="1">
      <alignment horizontal="left" vertical="center" wrapText="1"/>
    </xf>
    <xf numFmtId="49" fontId="32" fillId="0" borderId="141" xfId="0" applyNumberFormat="1" applyFont="1" applyBorder="1" applyAlignment="1" applyProtection="1">
      <alignment horizontal="left" vertical="center" wrapText="1"/>
      <protection/>
    </xf>
    <xf numFmtId="0" fontId="32" fillId="0" borderId="141" xfId="0" applyFont="1" applyBorder="1" applyAlignment="1">
      <alignment horizontal="left" vertical="center" wrapText="1"/>
    </xf>
    <xf numFmtId="0" fontId="32" fillId="0" borderId="142" xfId="0" applyFont="1" applyBorder="1" applyAlignment="1">
      <alignment horizontal="left" vertical="center" wrapText="1"/>
    </xf>
    <xf numFmtId="49" fontId="41" fillId="0" borderId="143" xfId="0" applyNumberFormat="1" applyFont="1" applyBorder="1" applyAlignment="1" applyProtection="1">
      <alignment horizontal="left" vertical="center" wrapText="1"/>
      <protection/>
    </xf>
    <xf numFmtId="0" fontId="41" fillId="0" borderId="143" xfId="0" applyFont="1" applyBorder="1" applyAlignment="1">
      <alignment horizontal="left" vertical="center" wrapText="1"/>
    </xf>
    <xf numFmtId="0" fontId="41" fillId="0" borderId="144" xfId="0" applyFont="1" applyBorder="1" applyAlignment="1">
      <alignment horizontal="left" vertical="center" wrapText="1"/>
    </xf>
    <xf numFmtId="49" fontId="41" fillId="0" borderId="107" xfId="0" applyNumberFormat="1" applyFont="1" applyBorder="1" applyAlignment="1" applyProtection="1">
      <alignment horizontal="left" vertical="center" wrapText="1"/>
      <protection/>
    </xf>
    <xf numFmtId="0" fontId="41" fillId="0" borderId="107" xfId="0" applyFont="1" applyBorder="1" applyAlignment="1">
      <alignment horizontal="left" vertical="center" wrapText="1"/>
    </xf>
    <xf numFmtId="0" fontId="41" fillId="0" borderId="108" xfId="0" applyFont="1" applyBorder="1" applyAlignment="1">
      <alignment horizontal="left" vertical="center" wrapText="1"/>
    </xf>
    <xf numFmtId="49" fontId="41" fillId="0" borderId="125" xfId="0" applyNumberFormat="1" applyFont="1" applyBorder="1" applyAlignment="1" applyProtection="1">
      <alignment horizontal="left" vertical="center" wrapText="1"/>
      <protection/>
    </xf>
    <xf numFmtId="0" fontId="41" fillId="0" borderId="125" xfId="0" applyFont="1" applyBorder="1" applyAlignment="1">
      <alignment horizontal="left" vertical="center" wrapText="1"/>
    </xf>
    <xf numFmtId="0" fontId="41" fillId="0" borderId="139" xfId="0" applyFont="1" applyBorder="1" applyAlignment="1">
      <alignment horizontal="left" vertical="center" wrapText="1"/>
    </xf>
    <xf numFmtId="0" fontId="27" fillId="56" borderId="38" xfId="96" applyFont="1" applyFill="1" applyBorder="1" applyAlignment="1">
      <alignment horizontal="center" vertical="center"/>
      <protection/>
    </xf>
    <xf numFmtId="0" fontId="15" fillId="56" borderId="38" xfId="0" applyFont="1" applyFill="1" applyBorder="1" applyAlignment="1">
      <alignment horizontal="center" vertical="center"/>
    </xf>
    <xf numFmtId="49" fontId="32" fillId="0" borderId="132" xfId="0" applyNumberFormat="1" applyFont="1" applyBorder="1" applyAlignment="1" applyProtection="1">
      <alignment horizontal="left" vertical="center" wrapText="1"/>
      <protection/>
    </xf>
    <xf numFmtId="0" fontId="32" fillId="0" borderId="132" xfId="0" applyFont="1" applyBorder="1" applyAlignment="1">
      <alignment horizontal="left" vertical="center" wrapText="1"/>
    </xf>
    <xf numFmtId="0" fontId="32" fillId="0" borderId="59" xfId="0" applyFont="1" applyBorder="1" applyAlignment="1">
      <alignment horizontal="left" vertical="center" wrapText="1"/>
    </xf>
    <xf numFmtId="49" fontId="41" fillId="0" borderId="145" xfId="0" applyNumberFormat="1" applyFont="1" applyBorder="1" applyAlignment="1" applyProtection="1">
      <alignment horizontal="left" vertical="center" wrapText="1"/>
      <protection/>
    </xf>
    <xf numFmtId="0" fontId="41" fillId="0" borderId="145" xfId="0" applyFont="1" applyBorder="1" applyAlignment="1">
      <alignment horizontal="left" vertical="center" wrapText="1"/>
    </xf>
    <xf numFmtId="0" fontId="41" fillId="0" borderId="146" xfId="0" applyFont="1" applyBorder="1" applyAlignment="1">
      <alignment horizontal="left" vertical="center" wrapText="1"/>
    </xf>
    <xf numFmtId="0" fontId="32" fillId="0" borderId="111" xfId="0" applyFont="1" applyFill="1" applyBorder="1" applyAlignment="1">
      <alignment vertical="center" wrapText="1"/>
    </xf>
    <xf numFmtId="0" fontId="32" fillId="0" borderId="25" xfId="0" applyFont="1" applyFill="1" applyBorder="1" applyAlignment="1">
      <alignment vertical="center" wrapText="1"/>
    </xf>
    <xf numFmtId="0" fontId="32" fillId="0" borderId="147" xfId="0" applyFont="1" applyFill="1" applyBorder="1" applyAlignment="1">
      <alignment vertical="center" wrapText="1"/>
    </xf>
    <xf numFmtId="0" fontId="32" fillId="0" borderId="27"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2" fillId="0" borderId="112" xfId="0" applyFont="1" applyFill="1" applyBorder="1" applyAlignment="1">
      <alignment vertical="center" shrinkToFit="1"/>
    </xf>
    <xf numFmtId="0" fontId="32" fillId="0" borderId="148" xfId="0" applyFont="1" applyFill="1" applyBorder="1" applyAlignment="1">
      <alignment vertical="center" shrinkToFit="1"/>
    </xf>
    <xf numFmtId="0" fontId="32" fillId="0" borderId="149" xfId="0" applyFont="1" applyFill="1" applyBorder="1" applyAlignment="1">
      <alignment vertical="center" shrinkToFit="1"/>
    </xf>
    <xf numFmtId="0" fontId="32" fillId="0" borderId="112" xfId="0" applyFont="1" applyFill="1" applyBorder="1" applyAlignment="1">
      <alignment vertical="top" wrapText="1"/>
    </xf>
    <xf numFmtId="0" fontId="32" fillId="0" borderId="148" xfId="0" applyFont="1" applyFill="1" applyBorder="1" applyAlignment="1">
      <alignment vertical="top" wrapText="1"/>
    </xf>
    <xf numFmtId="0" fontId="32" fillId="0" borderId="149" xfId="0" applyFont="1" applyFill="1" applyBorder="1" applyAlignment="1">
      <alignment vertical="top" wrapText="1"/>
    </xf>
    <xf numFmtId="0" fontId="32" fillId="0" borderId="111" xfId="0" applyFont="1" applyFill="1" applyBorder="1" applyAlignment="1">
      <alignment vertical="center" shrinkToFit="1"/>
    </xf>
    <xf numFmtId="0" fontId="32" fillId="0" borderId="25" xfId="0" applyFont="1" applyFill="1" applyBorder="1" applyAlignment="1">
      <alignment vertical="center" shrinkToFit="1"/>
    </xf>
    <xf numFmtId="0" fontId="4" fillId="50" borderId="22" xfId="0" applyFont="1" applyFill="1" applyBorder="1" applyAlignment="1">
      <alignment horizontal="center" vertical="center" wrapText="1"/>
    </xf>
    <xf numFmtId="0" fontId="0" fillId="0" borderId="22" xfId="0" applyBorder="1" applyAlignment="1">
      <alignment wrapText="1"/>
    </xf>
    <xf numFmtId="0" fontId="32" fillId="0" borderId="114" xfId="0" applyFont="1" applyFill="1" applyBorder="1" applyAlignment="1">
      <alignment vertical="center" wrapText="1"/>
    </xf>
    <xf numFmtId="0" fontId="32" fillId="0" borderId="23" xfId="0" applyFont="1" applyFill="1" applyBorder="1" applyAlignment="1">
      <alignment vertical="center" wrapText="1"/>
    </xf>
    <xf numFmtId="0" fontId="36" fillId="0" borderId="22" xfId="0" applyFont="1" applyFill="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36" fillId="0" borderId="80" xfId="0" applyFont="1" applyFill="1" applyBorder="1" applyAlignment="1" applyProtection="1">
      <alignment vertical="center" wrapText="1"/>
      <protection hidden="1"/>
    </xf>
    <xf numFmtId="0" fontId="36" fillId="0" borderId="103" xfId="0" applyFont="1" applyFill="1" applyBorder="1" applyAlignment="1" applyProtection="1">
      <alignment vertical="center" wrapText="1"/>
      <protection hidden="1"/>
    </xf>
    <xf numFmtId="0" fontId="36" fillId="0" borderId="81" xfId="0" applyFont="1" applyFill="1" applyBorder="1" applyAlignment="1" applyProtection="1">
      <alignment vertical="center" wrapText="1"/>
      <protection hidden="1"/>
    </xf>
    <xf numFmtId="0" fontId="20" fillId="0" borderId="80" xfId="0" applyFont="1" applyFill="1" applyBorder="1" applyAlignment="1" applyProtection="1">
      <alignment vertical="center" wrapText="1"/>
      <protection hidden="1"/>
    </xf>
    <xf numFmtId="0" fontId="57"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57" fillId="56" borderId="80" xfId="0" applyFont="1" applyFill="1" applyBorder="1" applyAlignment="1" applyProtection="1">
      <alignment horizontal="left" vertical="center" wrapText="1"/>
      <protection hidden="1"/>
    </xf>
    <xf numFmtId="0" fontId="58" fillId="56" borderId="103" xfId="0" applyFont="1" applyFill="1" applyBorder="1" applyAlignment="1" applyProtection="1">
      <alignment horizontal="left" vertical="center" wrapText="1"/>
      <protection hidden="1"/>
    </xf>
    <xf numFmtId="0" fontId="20" fillId="0" borderId="22" xfId="0" applyFont="1" applyFill="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44" fillId="58" borderId="75" xfId="0" applyFont="1" applyFill="1" applyBorder="1" applyAlignment="1" applyProtection="1">
      <alignment horizontal="center" vertical="center" wrapText="1"/>
      <protection hidden="1"/>
    </xf>
    <xf numFmtId="0" fontId="0" fillId="0" borderId="73" xfId="0" applyBorder="1" applyAlignment="1">
      <alignment/>
    </xf>
    <xf numFmtId="0" fontId="45" fillId="54" borderId="80" xfId="0" applyFont="1" applyFill="1" applyBorder="1" applyAlignment="1" applyProtection="1">
      <alignment horizontal="center" vertical="center" wrapText="1"/>
      <protection hidden="1"/>
    </xf>
    <xf numFmtId="0" fontId="64" fillId="54" borderId="103" xfId="0" applyFont="1" applyFill="1" applyBorder="1" applyAlignment="1" applyProtection="1">
      <alignment horizontal="center" vertical="center" wrapText="1"/>
      <protection hidden="1"/>
    </xf>
    <xf numFmtId="0" fontId="64" fillId="54" borderId="81" xfId="0" applyFont="1" applyFill="1" applyBorder="1" applyAlignment="1" applyProtection="1">
      <alignment horizontal="center" vertical="center" wrapText="1"/>
      <protection hidden="1"/>
    </xf>
    <xf numFmtId="0" fontId="21" fillId="56" borderId="101" xfId="0" applyFont="1" applyFill="1" applyBorder="1" applyAlignment="1" applyProtection="1">
      <alignment horizontal="left" vertical="center" wrapText="1"/>
      <protection hidden="1"/>
    </xf>
    <xf numFmtId="0" fontId="22" fillId="56" borderId="36" xfId="0" applyFont="1" applyFill="1" applyBorder="1" applyAlignment="1" applyProtection="1">
      <alignment horizontal="left" vertical="center" wrapText="1"/>
      <protection hidden="1"/>
    </xf>
    <xf numFmtId="0" fontId="0" fillId="0" borderId="36" xfId="0" applyBorder="1" applyAlignment="1">
      <alignment/>
    </xf>
    <xf numFmtId="0" fontId="18" fillId="0" borderId="150" xfId="94" applyNumberFormat="1" applyFont="1" applyFill="1" applyBorder="1" applyAlignment="1" applyProtection="1">
      <alignment horizontal="left" vertical="center" wrapText="1"/>
      <protection hidden="1"/>
    </xf>
    <xf numFmtId="0" fontId="18" fillId="0" borderId="150" xfId="0" applyNumberFormat="1" applyFont="1" applyBorder="1" applyAlignment="1" applyProtection="1">
      <alignment vertical="center" wrapText="1"/>
      <protection hidden="1"/>
    </xf>
    <xf numFmtId="0" fontId="18" fillId="0" borderId="151" xfId="0" applyNumberFormat="1" applyFont="1" applyBorder="1" applyAlignment="1" applyProtection="1">
      <alignment vertical="center" wrapText="1"/>
      <protection hidden="1"/>
    </xf>
    <xf numFmtId="0" fontId="18" fillId="0" borderId="114" xfId="94" applyNumberFormat="1" applyFont="1" applyFill="1" applyBorder="1" applyAlignment="1" applyProtection="1">
      <alignment horizontal="left" vertical="center" wrapText="1"/>
      <protection hidden="1"/>
    </xf>
    <xf numFmtId="0" fontId="18" fillId="0" borderId="114" xfId="0" applyNumberFormat="1" applyFont="1" applyBorder="1" applyAlignment="1" applyProtection="1">
      <alignment vertical="center" wrapText="1"/>
      <protection hidden="1"/>
    </xf>
    <xf numFmtId="0" fontId="18" fillId="0" borderId="23" xfId="0" applyNumberFormat="1" applyFont="1" applyBorder="1" applyAlignment="1" applyProtection="1">
      <alignment vertical="center" wrapText="1"/>
      <protection hidden="1"/>
    </xf>
    <xf numFmtId="0" fontId="19" fillId="41" borderId="80" xfId="97" applyFont="1" applyFill="1" applyBorder="1" applyAlignment="1" applyProtection="1">
      <alignment horizontal="left" vertical="center" wrapText="1"/>
      <protection hidden="1"/>
    </xf>
    <xf numFmtId="0" fontId="18" fillId="41" borderId="103" xfId="0" applyFont="1" applyFill="1" applyBorder="1" applyAlignment="1" applyProtection="1">
      <alignment horizontal="left" vertical="center" wrapText="1"/>
      <protection hidden="1"/>
    </xf>
    <xf numFmtId="0" fontId="18" fillId="41" borderId="81" xfId="0" applyFont="1" applyFill="1" applyBorder="1" applyAlignment="1" applyProtection="1">
      <alignment horizontal="left" vertical="center" wrapText="1"/>
      <protection hidden="1"/>
    </xf>
    <xf numFmtId="0" fontId="2" fillId="50" borderId="150" xfId="97" applyFont="1" applyFill="1" applyBorder="1" applyAlignment="1" applyProtection="1">
      <alignment horizontal="center" vertical="center"/>
      <protection hidden="1"/>
    </xf>
    <xf numFmtId="0" fontId="0" fillId="50" borderId="150" xfId="0" applyFont="1" applyFill="1" applyBorder="1" applyAlignment="1" applyProtection="1">
      <alignment horizontal="center" vertical="center"/>
      <protection hidden="1"/>
    </xf>
    <xf numFmtId="0" fontId="0" fillId="50"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0"/>
        </patternFill>
      </fill>
    </dxf>
    <dxf>
      <font>
        <b val="0"/>
        <color indexed="13"/>
      </font>
      <fill>
        <patternFill>
          <bgColor indexed="10"/>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b val="0"/>
        <color indexed="10"/>
      </font>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2403</v>
      </c>
      <c r="C3" s="439"/>
      <c r="D3" s="132"/>
      <c r="E3" s="132"/>
      <c r="F3" s="108"/>
      <c r="G3" s="108"/>
      <c r="H3" s="108"/>
      <c r="I3" s="108"/>
      <c r="J3" s="108"/>
      <c r="K3" s="440" t="s">
        <v>644</v>
      </c>
      <c r="L3" s="441"/>
    </row>
    <row r="4" spans="2:12" s="27" customFormat="1" ht="30" customHeight="1">
      <c r="B4" s="433"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1519</v>
      </c>
    </row>
    <row r="7" spans="2:16" s="118" customFormat="1" ht="18" customHeight="1" thickBot="1">
      <c r="B7" s="416" t="s">
        <v>2704</v>
      </c>
      <c r="C7" s="442"/>
      <c r="D7" s="443">
        <f>IF(RefStr!P4=1,IF(RefStr!C7&lt;&gt;"",RefStr!C7,""),"")</f>
      </c>
      <c r="E7" s="444"/>
      <c r="F7" s="444"/>
      <c r="G7" s="444"/>
      <c r="H7" s="444"/>
      <c r="I7" s="444"/>
      <c r="J7" s="444"/>
      <c r="K7" s="444"/>
      <c r="L7" s="444"/>
      <c r="P7" s="27" t="s">
        <v>391</v>
      </c>
    </row>
    <row r="8" spans="2:12" s="118" customFormat="1" ht="18" customHeight="1" thickBot="1">
      <c r="B8" s="416" t="s">
        <v>809</v>
      </c>
      <c r="C8" s="416"/>
      <c r="D8" s="231">
        <f>IF(RefStr!P4=1,IF(RefStr!C9&lt;&gt;"",RefStr!C9,""),"")</f>
      </c>
      <c r="E8" s="121"/>
      <c r="F8" s="128" t="s">
        <v>812</v>
      </c>
      <c r="G8" s="423">
        <f>IF(RefStr!P4=1,IF(RefStr!E9&lt;&gt;"",RefStr!E9,""),"")</f>
      </c>
      <c r="H8" s="424"/>
      <c r="I8" s="424"/>
      <c r="J8" s="424"/>
      <c r="K8" s="424"/>
      <c r="L8" s="424"/>
    </row>
    <row r="9" spans="2:12" s="118" customFormat="1" ht="18" customHeight="1" thickBot="1">
      <c r="B9" s="416" t="s">
        <v>2705</v>
      </c>
      <c r="C9" s="416"/>
      <c r="D9" s="423">
        <f>IF(RefStr!P4=1,IF(RefStr!C11&lt;&gt;"",RefStr!C11,""),"")</f>
      </c>
      <c r="E9" s="423"/>
      <c r="F9" s="423"/>
      <c r="G9" s="423"/>
      <c r="H9" s="423"/>
      <c r="I9" s="423"/>
      <c r="J9" s="423"/>
      <c r="K9" s="423"/>
      <c r="L9" s="423"/>
    </row>
    <row r="10" spans="2:12" s="118" customFormat="1" ht="18" customHeight="1" thickBot="1">
      <c r="B10" s="416" t="s">
        <v>334</v>
      </c>
      <c r="C10" s="416" t="s">
        <v>1657</v>
      </c>
      <c r="D10" s="428">
        <f>IF(RefStr!P4=1,IF(RefStr!C13&lt;&gt;"",RefStr!C13,""),"")</f>
      </c>
      <c r="E10" s="429"/>
      <c r="F10" s="429"/>
      <c r="G10" s="122"/>
      <c r="H10" s="122"/>
      <c r="I10" s="136"/>
      <c r="J10" s="128" t="s">
        <v>1541</v>
      </c>
      <c r="K10" s="227">
        <f>IF(RefStr!P4=1,IF(RefStr!J9&lt;&gt;"",RefStr!J9,""),"")</f>
      </c>
      <c r="L10" s="136"/>
    </row>
    <row r="11" spans="2:12" s="118" customFormat="1" ht="18" customHeight="1" thickBot="1">
      <c r="B11" s="396" t="s">
        <v>2707</v>
      </c>
      <c r="C11" s="397"/>
      <c r="D11" s="120">
        <f>IF(RefStr!P4=1,IF(RefStr!C15&lt;&gt;"",RefStr!C15,""),"")</f>
      </c>
      <c r="E11" s="232" t="str">
        <f>IF(RefStr!D15&lt;&gt;"",RefStr!D15,"")</f>
        <v>Djelatnosti ostalih članskih organizacija, d. n.</v>
      </c>
      <c r="F11" s="123"/>
      <c r="G11" s="136"/>
      <c r="H11" s="136"/>
      <c r="I11" s="137"/>
      <c r="J11" s="208" t="s">
        <v>2329</v>
      </c>
      <c r="K11" s="226">
        <f>IF(RefStr!P4=1,IF(RefStr!J11&lt;&gt;"",RefStr!J11,""),"")</f>
      </c>
      <c r="L11" s="136"/>
    </row>
    <row r="12" spans="2:12" s="118" customFormat="1" ht="18" customHeight="1" thickBot="1">
      <c r="B12" s="416" t="s">
        <v>1659</v>
      </c>
      <c r="C12" s="397"/>
      <c r="D12" s="124">
        <f>IF(RefStr!P4=1,IF(RefStr!C17&lt;&gt;"",RefStr!C17,""),"")</f>
      </c>
      <c r="E12" s="233" t="str">
        <f>IF(RefStr!D17&lt;&gt;"",RefStr!D17,"")</f>
        <v>Grad/općina: KNIN</v>
      </c>
      <c r="F12" s="125"/>
      <c r="G12" s="122"/>
      <c r="H12" s="122"/>
      <c r="I12" s="126"/>
      <c r="J12" s="208" t="s">
        <v>1542</v>
      </c>
      <c r="K12" s="417">
        <f>IF(RefStr!P4=1,IF(RefStr!J13&lt;&gt;"",RefStr!J13,""),"")</f>
      </c>
      <c r="L12" s="418"/>
    </row>
    <row r="13" spans="2:12" s="118" customFormat="1" ht="18" customHeight="1" thickBot="1">
      <c r="B13" s="136"/>
      <c r="C13" s="127"/>
      <c r="D13" s="262"/>
      <c r="E13" s="263"/>
      <c r="F13" s="263"/>
      <c r="G13" s="263"/>
      <c r="H13" s="263"/>
      <c r="I13" s="396" t="s">
        <v>1658</v>
      </c>
      <c r="J13" s="397"/>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87"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93" t="s">
        <v>811</v>
      </c>
      <c r="D16" s="393"/>
      <c r="E16" s="393"/>
      <c r="F16" s="393"/>
      <c r="G16" s="394"/>
      <c r="H16" s="394"/>
      <c r="I16" s="86" t="s">
        <v>810</v>
      </c>
      <c r="J16" s="87" t="s">
        <v>1668</v>
      </c>
      <c r="K16" s="88" t="s">
        <v>1669</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647</v>
      </c>
      <c r="C18" s="380" t="s">
        <v>1335</v>
      </c>
      <c r="D18" s="380"/>
      <c r="E18" s="380"/>
      <c r="F18" s="380"/>
      <c r="G18" s="380"/>
      <c r="H18" s="380"/>
      <c r="I18" s="380"/>
      <c r="J18" s="380"/>
      <c r="K18" s="380"/>
      <c r="L18" s="381"/>
    </row>
    <row r="19" spans="2:17" s="27" customFormat="1" ht="12.75">
      <c r="B19" s="196" t="s">
        <v>1336</v>
      </c>
      <c r="C19" s="484" t="s">
        <v>1337</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141</v>
      </c>
      <c r="C36" s="473" t="s">
        <v>2867</v>
      </c>
      <c r="D36" s="474"/>
      <c r="E36" s="474"/>
      <c r="F36" s="474"/>
      <c r="G36" s="474"/>
      <c r="H36" s="475"/>
      <c r="I36" s="192">
        <v>17</v>
      </c>
      <c r="J36" s="193"/>
      <c r="K36" s="193"/>
      <c r="L36" s="194" t="str">
        <f t="shared" si="1"/>
        <v>-</v>
      </c>
      <c r="M36" s="97"/>
      <c r="N36" s="33"/>
      <c r="P36" s="34"/>
      <c r="Q36" s="28"/>
    </row>
    <row r="37" spans="2:17" s="27" customFormat="1" ht="12.75">
      <c r="B37" s="197" t="s">
        <v>142</v>
      </c>
      <c r="C37" s="473" t="s">
        <v>2868</v>
      </c>
      <c r="D37" s="474"/>
      <c r="E37" s="474"/>
      <c r="F37" s="474"/>
      <c r="G37" s="474"/>
      <c r="H37" s="475"/>
      <c r="I37" s="192">
        <v>18</v>
      </c>
      <c r="J37" s="193"/>
      <c r="K37" s="193"/>
      <c r="L37" s="194" t="str">
        <f t="shared" si="1"/>
        <v>-</v>
      </c>
      <c r="M37" s="97"/>
      <c r="N37" s="33"/>
      <c r="P37" s="34"/>
      <c r="Q37" s="28"/>
    </row>
    <row r="38" spans="2:17" s="27" customFormat="1" ht="12.75">
      <c r="B38" s="197" t="s">
        <v>1338</v>
      </c>
      <c r="C38" s="473" t="s">
        <v>143</v>
      </c>
      <c r="D38" s="474"/>
      <c r="E38" s="474"/>
      <c r="F38" s="474"/>
      <c r="G38" s="474"/>
      <c r="H38" s="475"/>
      <c r="I38" s="192">
        <v>19</v>
      </c>
      <c r="J38" s="193"/>
      <c r="K38" s="193"/>
      <c r="L38" s="194" t="str">
        <f t="shared" si="1"/>
        <v>-</v>
      </c>
      <c r="M38" s="97"/>
      <c r="N38" s="33"/>
      <c r="P38" s="34"/>
      <c r="Q38" s="28"/>
    </row>
    <row r="39" spans="2:17" s="27" customFormat="1" ht="12.75">
      <c r="B39" s="197" t="s">
        <v>1340</v>
      </c>
      <c r="C39" s="473" t="s">
        <v>144</v>
      </c>
      <c r="D39" s="474"/>
      <c r="E39" s="474"/>
      <c r="F39" s="474"/>
      <c r="G39" s="474"/>
      <c r="H39" s="475"/>
      <c r="I39" s="192">
        <v>20</v>
      </c>
      <c r="J39" s="193"/>
      <c r="K39" s="193"/>
      <c r="L39" s="194" t="str">
        <f t="shared" si="1"/>
        <v>-</v>
      </c>
      <c r="M39" s="97"/>
      <c r="N39" s="33"/>
      <c r="P39" s="34"/>
      <c r="Q39" s="28"/>
    </row>
    <row r="40" spans="2:17" s="27" customFormat="1" ht="12.75">
      <c r="B40" s="197" t="s">
        <v>934</v>
      </c>
      <c r="C40" s="473" t="s">
        <v>145</v>
      </c>
      <c r="D40" s="474"/>
      <c r="E40" s="474"/>
      <c r="F40" s="474"/>
      <c r="G40" s="474"/>
      <c r="H40" s="475"/>
      <c r="I40" s="192">
        <v>21</v>
      </c>
      <c r="J40" s="193"/>
      <c r="K40" s="193"/>
      <c r="L40" s="194" t="str">
        <f t="shared" si="1"/>
        <v>-</v>
      </c>
      <c r="M40" s="97"/>
      <c r="N40" s="33"/>
      <c r="P40" s="34"/>
      <c r="Q40" s="28"/>
    </row>
    <row r="41" spans="2:17" s="27" customFormat="1" ht="12.75">
      <c r="B41" s="197" t="s">
        <v>947</v>
      </c>
      <c r="C41" s="473" t="s">
        <v>146</v>
      </c>
      <c r="D41" s="474"/>
      <c r="E41" s="474"/>
      <c r="F41" s="474"/>
      <c r="G41" s="474"/>
      <c r="H41" s="475"/>
      <c r="I41" s="192">
        <v>22</v>
      </c>
      <c r="J41" s="193"/>
      <c r="K41" s="193"/>
      <c r="L41" s="194" t="str">
        <f t="shared" si="1"/>
        <v>-</v>
      </c>
      <c r="M41" s="97"/>
      <c r="N41" s="33"/>
      <c r="P41" s="34"/>
      <c r="Q41" s="28"/>
    </row>
    <row r="42" spans="2:17" s="27" customFormat="1" ht="12.75">
      <c r="B42" s="197" t="s">
        <v>949</v>
      </c>
      <c r="C42" s="473" t="s">
        <v>147</v>
      </c>
      <c r="D42" s="474"/>
      <c r="E42" s="474"/>
      <c r="F42" s="474"/>
      <c r="G42" s="474"/>
      <c r="H42" s="475"/>
      <c r="I42" s="192">
        <v>23</v>
      </c>
      <c r="J42" s="193"/>
      <c r="K42" s="193"/>
      <c r="L42" s="194" t="str">
        <f t="shared" si="1"/>
        <v>-</v>
      </c>
      <c r="M42" s="97"/>
      <c r="N42" s="33"/>
      <c r="P42" s="34"/>
      <c r="Q42" s="28"/>
    </row>
    <row r="43" spans="2:17" s="27" customFormat="1" ht="12.75">
      <c r="B43" s="197" t="s">
        <v>951</v>
      </c>
      <c r="C43" s="473" t="s">
        <v>148</v>
      </c>
      <c r="D43" s="474"/>
      <c r="E43" s="474"/>
      <c r="F43" s="474"/>
      <c r="G43" s="474"/>
      <c r="H43" s="475"/>
      <c r="I43" s="192">
        <v>24</v>
      </c>
      <c r="J43" s="193"/>
      <c r="K43" s="193"/>
      <c r="L43" s="194" t="str">
        <f t="shared" si="1"/>
        <v>-</v>
      </c>
      <c r="M43" s="97"/>
      <c r="N43" s="33"/>
      <c r="P43" s="34"/>
      <c r="Q43" s="28"/>
    </row>
    <row r="44" spans="2:17" s="27" customFormat="1" ht="12.75">
      <c r="B44" s="197" t="s">
        <v>1831</v>
      </c>
      <c r="C44" s="473" t="s">
        <v>1832</v>
      </c>
      <c r="D44" s="474"/>
      <c r="E44" s="474"/>
      <c r="F44" s="474"/>
      <c r="G44" s="474"/>
      <c r="H44" s="475"/>
      <c r="I44" s="192">
        <v>25</v>
      </c>
      <c r="J44" s="193"/>
      <c r="K44" s="193"/>
      <c r="L44" s="194" t="str">
        <f t="shared" si="1"/>
        <v>-</v>
      </c>
      <c r="M44" s="97"/>
      <c r="N44" s="33"/>
      <c r="P44" s="34"/>
      <c r="Q44" s="28"/>
    </row>
    <row r="45" spans="2:17" s="27" customFormat="1" ht="12.75">
      <c r="B45" s="197" t="s">
        <v>1833</v>
      </c>
      <c r="C45" s="473" t="s">
        <v>1834</v>
      </c>
      <c r="D45" s="474"/>
      <c r="E45" s="474"/>
      <c r="F45" s="474"/>
      <c r="G45" s="474"/>
      <c r="H45" s="475"/>
      <c r="I45" s="192">
        <v>26</v>
      </c>
      <c r="J45" s="193"/>
      <c r="K45" s="193"/>
      <c r="L45" s="194" t="str">
        <f t="shared" si="1"/>
        <v>-</v>
      </c>
      <c r="M45" s="97"/>
      <c r="N45" s="33"/>
      <c r="P45" s="34"/>
      <c r="Q45" s="28"/>
    </row>
    <row r="46" spans="2:17" s="27" customFormat="1" ht="12.75">
      <c r="B46" s="197" t="s">
        <v>1835</v>
      </c>
      <c r="C46" s="473" t="s">
        <v>12</v>
      </c>
      <c r="D46" s="474"/>
      <c r="E46" s="474"/>
      <c r="F46" s="474"/>
      <c r="G46" s="474"/>
      <c r="H46" s="475"/>
      <c r="I46" s="192">
        <v>27</v>
      </c>
      <c r="J46" s="193"/>
      <c r="K46" s="193"/>
      <c r="L46" s="194" t="str">
        <f t="shared" si="1"/>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1"/>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1"/>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1338</v>
      </c>
      <c r="C52" s="473" t="s">
        <v>18</v>
      </c>
      <c r="D52" s="474"/>
      <c r="E52" s="474"/>
      <c r="F52" s="474"/>
      <c r="G52" s="474"/>
      <c r="H52" s="483"/>
      <c r="I52" s="203">
        <v>32</v>
      </c>
      <c r="J52" s="204"/>
      <c r="K52" s="204"/>
      <c r="L52" s="205" t="str">
        <f t="shared" si="2"/>
        <v>-</v>
      </c>
      <c r="M52" s="97"/>
      <c r="N52" s="33"/>
      <c r="P52" s="34"/>
      <c r="Q52" s="28"/>
    </row>
    <row r="53" spans="2:17" s="27" customFormat="1" ht="12.75">
      <c r="B53" s="188" t="s">
        <v>1340</v>
      </c>
      <c r="C53" s="473" t="s">
        <v>727</v>
      </c>
      <c r="D53" s="474"/>
      <c r="E53" s="474"/>
      <c r="F53" s="474"/>
      <c r="G53" s="474"/>
      <c r="H53" s="483"/>
      <c r="I53" s="203">
        <v>33</v>
      </c>
      <c r="J53" s="204"/>
      <c r="K53" s="204"/>
      <c r="L53" s="205" t="str">
        <f t="shared" si="2"/>
        <v>-</v>
      </c>
      <c r="M53" s="97"/>
      <c r="N53" s="33"/>
      <c r="P53" s="34"/>
      <c r="Q53" s="28"/>
    </row>
    <row r="54" spans="2:17" s="27" customFormat="1" ht="12.75">
      <c r="B54" s="188" t="s">
        <v>934</v>
      </c>
      <c r="C54" s="473" t="s">
        <v>728</v>
      </c>
      <c r="D54" s="474"/>
      <c r="E54" s="474"/>
      <c r="F54" s="474"/>
      <c r="G54" s="474"/>
      <c r="H54" s="483"/>
      <c r="I54" s="203">
        <v>34</v>
      </c>
      <c r="J54" s="204"/>
      <c r="K54" s="204"/>
      <c r="L54" s="205" t="str">
        <f t="shared" si="2"/>
        <v>-</v>
      </c>
      <c r="M54" s="97"/>
      <c r="N54" s="33"/>
      <c r="P54" s="34"/>
      <c r="Q54" s="28"/>
    </row>
    <row r="55" spans="2:17" s="27" customFormat="1" ht="12.75">
      <c r="B55" s="188" t="s">
        <v>947</v>
      </c>
      <c r="C55" s="473" t="s">
        <v>729</v>
      </c>
      <c r="D55" s="474"/>
      <c r="E55" s="474"/>
      <c r="F55" s="474"/>
      <c r="G55" s="474"/>
      <c r="H55" s="483"/>
      <c r="I55" s="203">
        <v>35</v>
      </c>
      <c r="J55" s="204"/>
      <c r="K55" s="204"/>
      <c r="L55" s="205" t="str">
        <f t="shared" si="2"/>
        <v>-</v>
      </c>
      <c r="M55" s="97"/>
      <c r="N55" s="33"/>
      <c r="P55" s="34"/>
      <c r="Q55" s="28"/>
    </row>
    <row r="56" spans="2:17" s="27" customFormat="1" ht="12.75">
      <c r="B56" s="188" t="s">
        <v>949</v>
      </c>
      <c r="C56" s="473" t="s">
        <v>730</v>
      </c>
      <c r="D56" s="474"/>
      <c r="E56" s="474"/>
      <c r="F56" s="474"/>
      <c r="G56" s="474"/>
      <c r="H56" s="483"/>
      <c r="I56" s="203">
        <v>36</v>
      </c>
      <c r="J56" s="204"/>
      <c r="K56" s="204"/>
      <c r="L56" s="205" t="str">
        <f t="shared" si="2"/>
        <v>-</v>
      </c>
      <c r="M56" s="97"/>
      <c r="N56" s="33"/>
      <c r="P56" s="34"/>
      <c r="Q56" s="28"/>
    </row>
    <row r="57" spans="2:17" s="27" customFormat="1" ht="12.75">
      <c r="B57" s="188" t="s">
        <v>951</v>
      </c>
      <c r="C57" s="473" t="s">
        <v>731</v>
      </c>
      <c r="D57" s="474"/>
      <c r="E57" s="474"/>
      <c r="F57" s="474"/>
      <c r="G57" s="474"/>
      <c r="H57" s="483"/>
      <c r="I57" s="203">
        <v>37</v>
      </c>
      <c r="J57" s="204"/>
      <c r="K57" s="204"/>
      <c r="L57" s="205" t="str">
        <f t="shared" si="2"/>
        <v>-</v>
      </c>
      <c r="M57" s="97"/>
      <c r="N57" s="33"/>
      <c r="P57" s="34"/>
      <c r="Q57" s="28"/>
    </row>
    <row r="58" spans="2:17" s="27" customFormat="1" ht="12.75">
      <c r="B58" s="188" t="s">
        <v>1831</v>
      </c>
      <c r="C58" s="473" t="s">
        <v>1654</v>
      </c>
      <c r="D58" s="474"/>
      <c r="E58" s="474"/>
      <c r="F58" s="474"/>
      <c r="G58" s="474"/>
      <c r="H58" s="483"/>
      <c r="I58" s="203">
        <v>38</v>
      </c>
      <c r="J58" s="204"/>
      <c r="K58" s="204"/>
      <c r="L58" s="205" t="str">
        <f t="shared" si="2"/>
        <v>-</v>
      </c>
      <c r="M58" s="97"/>
      <c r="N58" s="33"/>
      <c r="P58" s="34"/>
      <c r="Q58" s="28"/>
    </row>
    <row r="59" spans="2:17" s="27" customFormat="1" ht="12.75">
      <c r="B59" s="188" t="s">
        <v>1833</v>
      </c>
      <c r="C59" s="473" t="s">
        <v>1655</v>
      </c>
      <c r="D59" s="474"/>
      <c r="E59" s="474"/>
      <c r="F59" s="474"/>
      <c r="G59" s="474"/>
      <c r="H59" s="483"/>
      <c r="I59" s="203">
        <v>39</v>
      </c>
      <c r="J59" s="204"/>
      <c r="K59" s="204"/>
      <c r="L59" s="205" t="str">
        <f t="shared" si="2"/>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5"/>
      <c r="C62" s="425"/>
      <c r="D62" s="425"/>
      <c r="E62" s="426"/>
      <c r="F62" s="426"/>
      <c r="G62" s="426"/>
      <c r="H62" s="426"/>
      <c r="I62" s="119"/>
      <c r="J62" s="427" t="s">
        <v>2355</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f>IF(RefStr!P4=1,IF(RefStr!D39&lt;&gt;"",RefStr!D39,""),"")</f>
      </c>
      <c r="E64" s="453"/>
      <c r="F64" s="453"/>
      <c r="G64" s="453"/>
      <c r="H64" s="453"/>
      <c r="I64" s="173"/>
      <c r="J64" s="174"/>
      <c r="K64" s="174"/>
      <c r="L64" s="174"/>
    </row>
    <row r="65" spans="2:12" s="118" customFormat="1" ht="15" thickBot="1">
      <c r="B65" s="386" t="s">
        <v>1671</v>
      </c>
      <c r="C65" s="386"/>
      <c r="D65" s="223">
        <f>IF(RefStr!P4=1,IF(RefStr!D41&lt;&gt;"",RefStr!D41,""),"")</f>
      </c>
      <c r="E65" s="176"/>
      <c r="F65" s="176"/>
      <c r="G65" s="176"/>
      <c r="H65" s="177"/>
      <c r="I65" s="178"/>
      <c r="J65" s="178"/>
      <c r="K65" s="179"/>
      <c r="L65" s="178"/>
    </row>
    <row r="66" spans="2:12" s="118" customFormat="1" ht="15" thickBot="1">
      <c r="B66" s="398" t="s">
        <v>429</v>
      </c>
      <c r="C66" s="398"/>
      <c r="D66" s="453">
        <f>IF(RefStr!P4=1,IF(RefStr!D43&lt;&gt;"",RefStr!D43,""),"")</f>
      </c>
      <c r="E66" s="453"/>
      <c r="F66" s="453"/>
      <c r="G66" s="453"/>
      <c r="H66" s="171"/>
      <c r="I66" s="171"/>
      <c r="J66" s="171"/>
      <c r="K66" s="171"/>
      <c r="L66" s="171"/>
    </row>
    <row r="67" spans="2:12" s="118" customFormat="1" ht="15" thickBot="1">
      <c r="B67" s="386" t="s">
        <v>430</v>
      </c>
      <c r="C67" s="386"/>
      <c r="D67" s="451">
        <f>IF(RefStr!P4=1,IF(RefStr!D45&lt;&gt;"",RefStr!D45,""),"")</f>
      </c>
      <c r="E67" s="451"/>
      <c r="F67" s="171"/>
      <c r="G67" s="180"/>
      <c r="H67" s="180"/>
      <c r="I67" s="180"/>
      <c r="J67" s="180"/>
      <c r="K67" s="180"/>
      <c r="L67" s="180"/>
    </row>
    <row r="68" spans="2:12" s="118" customFormat="1" ht="15" thickBot="1">
      <c r="B68" s="386" t="s">
        <v>2734</v>
      </c>
      <c r="C68" s="386"/>
      <c r="D68" s="452">
        <f>IF(RefStr!P4=1,IF(RefStr!D47&lt;&gt;"",RefStr!D47,""),"")</f>
      </c>
      <c r="E68" s="452"/>
      <c r="F68" s="181"/>
      <c r="G68" s="181"/>
      <c r="H68" s="181"/>
      <c r="I68" s="181"/>
      <c r="J68" s="181"/>
      <c r="K68" s="180"/>
      <c r="L68" s="180"/>
    </row>
    <row r="69" spans="2:12" s="118" customFormat="1" ht="15" thickBot="1">
      <c r="B69" s="386" t="s">
        <v>431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1:H51"/>
    <mergeCell ref="B65:C65"/>
    <mergeCell ref="B66:C66"/>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 aca="true" t="shared" si="0" ref="B4:B12">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2820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7" t="s">
        <v>1537</v>
      </c>
      <c r="D7" s="528"/>
      <c r="E7" s="528"/>
      <c r="F7" s="528"/>
      <c r="G7" s="528"/>
      <c r="H7" s="528"/>
      <c r="I7" s="528"/>
      <c r="J7" s="529"/>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1"/>
        <v>5</v>
      </c>
      <c r="B8" s="219" t="str">
        <f t="shared" si="0"/>
        <v>Ispravna</v>
      </c>
      <c r="C8" s="525" t="s">
        <v>2733</v>
      </c>
      <c r="D8" s="526"/>
      <c r="E8" s="526"/>
      <c r="F8" s="526"/>
      <c r="G8" s="526"/>
      <c r="H8" s="526"/>
      <c r="I8" s="526"/>
      <c r="J8" s="526"/>
      <c r="L8">
        <f>IF(OR(RefStr!D39="",RefStr!D43="",RefStr!D45=""),1,0)</f>
        <v>0</v>
      </c>
      <c r="M8">
        <v>0</v>
      </c>
    </row>
    <row r="9" spans="1:16" ht="99" customHeight="1">
      <c r="A9" s="237">
        <f t="shared" si="1"/>
        <v>6</v>
      </c>
      <c r="B9" s="219" t="str">
        <f t="shared" si="0"/>
        <v>Ispravna</v>
      </c>
      <c r="C9" s="536" t="s">
        <v>1913</v>
      </c>
      <c r="D9" s="526"/>
      <c r="E9" s="526"/>
      <c r="F9" s="526"/>
      <c r="G9" s="526"/>
      <c r="H9" s="526"/>
      <c r="I9" s="526"/>
      <c r="J9" s="526"/>
      <c r="L9" s="245">
        <f>MAX(N9:O9)</f>
        <v>0</v>
      </c>
      <c r="M9">
        <v>0</v>
      </c>
      <c r="N9" s="245">
        <f>IF(MID(P9,3,1)&lt;&gt;".",1,0)</f>
        <v>0</v>
      </c>
      <c r="O9" s="245">
        <f>IF(MID(P9,7,1)&lt;&gt;",",1,0)</f>
        <v>0</v>
      </c>
      <c r="P9" s="246" t="str">
        <f>TEXT(RefStr!C9+10000.01,"#.##0,00")</f>
        <v>32.300,01</v>
      </c>
    </row>
    <row r="10" spans="1:18" ht="108.75" customHeight="1">
      <c r="A10" s="237">
        <f t="shared" si="1"/>
        <v>7</v>
      </c>
      <c r="B10" s="219" t="str">
        <f t="shared" si="0"/>
        <v>Ispravna</v>
      </c>
      <c r="C10" s="536" t="s">
        <v>673</v>
      </c>
      <c r="D10" s="537"/>
      <c r="E10" s="537"/>
      <c r="F10" s="537"/>
      <c r="G10" s="537"/>
      <c r="H10" s="537"/>
      <c r="I10" s="537"/>
      <c r="J10" s="537"/>
      <c r="L10">
        <f>MAX(N10:O10)</f>
        <v>0</v>
      </c>
      <c r="M10">
        <v>0</v>
      </c>
      <c r="N10">
        <f>IF(ISERROR(R10),0,1)</f>
        <v>0</v>
      </c>
      <c r="O10" s="245">
        <f>IF(ISERROR(Q10),0,1)</f>
        <v>0</v>
      </c>
      <c r="P10" s="246" t="str">
        <f ca="1">CELL("filename")</f>
        <v>C:\eObrasci\2022. Žene kosovske doline\[Neprof6.xls]Novosti</v>
      </c>
      <c r="Q10" s="246" t="e">
        <f>FIND(".XLSX",UPPER(P10),1)</f>
        <v>#VALUE!</v>
      </c>
      <c r="R10" s="1" t="e">
        <f>FIND(".XLSM",UPPER(P10),1)</f>
        <v>#VALUE!</v>
      </c>
    </row>
    <row r="11" spans="1:13" ht="75" customHeight="1">
      <c r="A11" s="237">
        <f t="shared" si="1"/>
        <v>8</v>
      </c>
      <c r="B11" s="219" t="str">
        <f t="shared" si="0"/>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2717</v>
      </c>
      <c r="D12" s="526"/>
      <c r="E12" s="526"/>
      <c r="F12" s="526"/>
      <c r="G12" s="526"/>
      <c r="H12" s="526"/>
      <c r="I12" s="526"/>
      <c r="J12" s="526"/>
      <c r="L12">
        <f>IF(ISERROR(RefStr!I21),1,0)</f>
        <v>0</v>
      </c>
      <c r="M12">
        <f>IF(RefStr!I21=0,1,0)</f>
        <v>0</v>
      </c>
    </row>
    <row r="13" spans="1:10" ht="19.5" customHeight="1">
      <c r="A13" s="534" t="s">
        <v>3035</v>
      </c>
      <c r="B13" s="535"/>
      <c r="C13" s="535"/>
      <c r="D13" s="535"/>
      <c r="E13" s="535"/>
      <c r="F13" s="535"/>
      <c r="G13" s="535"/>
      <c r="H13" s="535"/>
      <c r="I13" s="535"/>
      <c r="J13" s="532"/>
    </row>
    <row r="14" spans="1:13" ht="30" customHeight="1">
      <c r="A14" s="236">
        <f>INT(A12)+1</f>
        <v>10</v>
      </c>
      <c r="B14" s="219" t="str">
        <f aca="true" t="shared" si="2" ref="B14:B22">IF(L14=1,"Pogreška",IF(M14=1,"Upozorenje","Ispravna"))</f>
        <v>Ispravna</v>
      </c>
      <c r="C14" s="525" t="s">
        <v>202</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27" t="s">
        <v>1869</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30" t="s">
        <v>2278</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155</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3037</v>
      </c>
      <c r="B23" s="535"/>
      <c r="C23" s="535"/>
      <c r="D23" s="535"/>
      <c r="E23" s="535"/>
      <c r="F23" s="535"/>
      <c r="G23" s="535"/>
      <c r="H23" s="535"/>
      <c r="I23" s="535"/>
      <c r="J23" s="532"/>
    </row>
    <row r="24" spans="1:15" ht="31.5" customHeight="1">
      <c r="A24" s="236">
        <f>INT(A22)+1</f>
        <v>19</v>
      </c>
      <c r="B24" s="219" t="str">
        <f>IF(L24=1,"Pogreška",IF(M24=1,"Upozorenje","Ispravna"))</f>
        <v>Ispravna</v>
      </c>
      <c r="C24" s="527" t="s">
        <v>1416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1388</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1389</v>
      </c>
      <c r="D27" s="528"/>
      <c r="E27" s="528"/>
      <c r="F27" s="528"/>
      <c r="G27" s="528"/>
      <c r="H27" s="528"/>
      <c r="I27" s="528"/>
      <c r="J27" s="529"/>
      <c r="K27" s="10"/>
      <c r="L27" s="238">
        <f>IF(MIN(BIL!J19:K162,BIL!J164:K213,BIL!J215:K219,BIL!J221:K222)&lt;0,1,0)</f>
        <v>0</v>
      </c>
      <c r="M27">
        <v>0</v>
      </c>
    </row>
    <row r="28" spans="1:10" ht="19.5" customHeight="1">
      <c r="A28" s="531" t="s">
        <v>2465</v>
      </c>
      <c r="B28" s="532"/>
      <c r="C28" s="532"/>
      <c r="D28" s="532"/>
      <c r="E28" s="532"/>
      <c r="F28" s="532"/>
      <c r="G28" s="532"/>
      <c r="H28" s="532"/>
      <c r="I28" s="532"/>
      <c r="J28" s="533"/>
    </row>
    <row r="29" spans="1:14" ht="76.5" customHeight="1">
      <c r="A29" s="236">
        <f>INT(A27)+1</f>
        <v>23</v>
      </c>
      <c r="B29" s="219" t="str">
        <f aca="true" t="shared" si="4"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0" t="s">
        <v>2574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8:J18"/>
    <mergeCell ref="C25:J25"/>
    <mergeCell ref="C10:J10"/>
    <mergeCell ref="C12:J12"/>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A2:I2"/>
    <mergeCell ref="B3:I3"/>
    <mergeCell ref="B4:I4"/>
    <mergeCell ref="B5:I5"/>
    <mergeCell ref="B15:I15"/>
    <mergeCell ref="B11:I11"/>
    <mergeCell ref="B10:I10"/>
    <mergeCell ref="B6:I6"/>
    <mergeCell ref="B8:I8"/>
    <mergeCell ref="B7:I7"/>
    <mergeCell ref="B12:I12"/>
    <mergeCell ref="B9:I9"/>
    <mergeCell ref="B13:I13"/>
    <mergeCell ref="B14:I1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3356714</v>
      </c>
      <c r="C2" s="5">
        <f>PRRAS!K19</f>
        <v>2154644</v>
      </c>
      <c r="D2" s="8">
        <v>0</v>
      </c>
      <c r="E2" s="8">
        <v>0</v>
      </c>
      <c r="F2" s="7">
        <f aca="true" t="shared" si="0" ref="F2:F33">A2/100*B2+A2/50*C2</f>
        <v>76660.01999999999</v>
      </c>
      <c r="G2" s="9" t="str">
        <f>TRIM(UPPER(RefStr!C13))</f>
        <v>HR6324020061100653723</v>
      </c>
      <c r="H2" s="13">
        <v>0</v>
      </c>
      <c r="I2" s="9" t="s">
        <v>660</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04008863</v>
      </c>
      <c r="I3" s="9" t="s">
        <v>661</v>
      </c>
      <c r="J3" s="8">
        <f t="shared" si="1"/>
        <v>0</v>
      </c>
    </row>
    <row r="4" spans="1:10" ht="12.75">
      <c r="A4" s="5">
        <f>PRRAS!I21</f>
        <v>3</v>
      </c>
      <c r="B4" s="5">
        <f>PRRAS!J21</f>
        <v>0</v>
      </c>
      <c r="C4" s="5">
        <f>PRRAS!K21</f>
        <v>0</v>
      </c>
      <c r="D4" s="8">
        <v>0</v>
      </c>
      <c r="E4" s="8">
        <v>0</v>
      </c>
      <c r="F4" s="7">
        <f t="shared" si="0"/>
        <v>0</v>
      </c>
      <c r="G4" s="6" t="str">
        <f>IF(ISERROR(RefStr!C7),"-",UPPER(TRIM(RefStr!C7)))</f>
        <v>UDRUGA ŽENE KOSOVSKE DOLINE</v>
      </c>
      <c r="I4" s="9" t="s">
        <v>662</v>
      </c>
      <c r="J4" s="8">
        <f t="shared" si="1"/>
        <v>0</v>
      </c>
    </row>
    <row r="5" spans="1:10" ht="12.75">
      <c r="A5" s="5">
        <f>PRRAS!I22</f>
        <v>4</v>
      </c>
      <c r="B5" s="5">
        <f>PRRAS!J22</f>
        <v>0</v>
      </c>
      <c r="C5" s="5">
        <f>PRRAS!K22</f>
        <v>0</v>
      </c>
      <c r="D5" s="8">
        <v>0</v>
      </c>
      <c r="E5" s="8">
        <v>0</v>
      </c>
      <c r="F5" s="7">
        <f t="shared" si="0"/>
        <v>0</v>
      </c>
      <c r="G5" s="6" t="str">
        <f>TEXT(INT(VALUE(RefStr!C9)),"00000")</f>
        <v>22300</v>
      </c>
      <c r="I5" s="9" t="s">
        <v>663</v>
      </c>
      <c r="J5" s="8">
        <f t="shared" si="1"/>
        <v>0</v>
      </c>
    </row>
    <row r="6" spans="1:10" ht="12.75">
      <c r="A6" s="5">
        <f>PRRAS!I23</f>
        <v>5</v>
      </c>
      <c r="B6" s="5">
        <f>PRRAS!J23</f>
        <v>700</v>
      </c>
      <c r="C6" s="5">
        <f>PRRAS!K23</f>
        <v>0</v>
      </c>
      <c r="D6" s="8">
        <v>0</v>
      </c>
      <c r="E6" s="8">
        <v>0</v>
      </c>
      <c r="F6" s="7">
        <f t="shared" si="0"/>
        <v>35</v>
      </c>
      <c r="G6" s="6" t="str">
        <f>IF(ISERROR(RefStr!E9),"-",UPPER(TRIM(RefStr!E9)))</f>
        <v>RIĐANE, 22300 KNIN</v>
      </c>
      <c r="I6" s="9" t="s">
        <v>664</v>
      </c>
      <c r="J6" s="8">
        <f t="shared" si="1"/>
        <v>0</v>
      </c>
    </row>
    <row r="7" spans="1:10" ht="12.75">
      <c r="A7" s="5">
        <f>PRRAS!I24</f>
        <v>6</v>
      </c>
      <c r="B7" s="5">
        <f>PRRAS!J24</f>
        <v>700</v>
      </c>
      <c r="C7" s="5">
        <f>PRRAS!K24</f>
        <v>0</v>
      </c>
      <c r="D7" s="8">
        <v>0</v>
      </c>
      <c r="E7" s="8">
        <v>0</v>
      </c>
      <c r="F7" s="7">
        <f t="shared" si="0"/>
        <v>42</v>
      </c>
      <c r="G7" s="6" t="str">
        <f>IF(ISERROR(RefStr!C11),"-",(TRIM(RefStr!C11)))</f>
        <v>RIĐANE CENTAR 84</v>
      </c>
      <c r="I7" s="9" t="s">
        <v>665</v>
      </c>
      <c r="J7" s="8">
        <f t="shared" si="1"/>
        <v>0</v>
      </c>
    </row>
    <row r="8" spans="1:10" ht="12.75">
      <c r="A8" s="5">
        <f>PRRAS!I25</f>
        <v>7</v>
      </c>
      <c r="B8" s="5">
        <f>PRRAS!J25</f>
        <v>0</v>
      </c>
      <c r="C8" s="5">
        <f>PRRAS!K25</f>
        <v>0</v>
      </c>
      <c r="D8" s="8">
        <v>0</v>
      </c>
      <c r="E8" s="8">
        <v>0</v>
      </c>
      <c r="F8" s="7">
        <f t="shared" si="0"/>
        <v>0</v>
      </c>
      <c r="G8" s="6" t="str">
        <f>TEXT(INT(VALUE(RefStr!C15)),"0000")</f>
        <v>9499</v>
      </c>
      <c r="I8" s="9" t="s">
        <v>666</v>
      </c>
      <c r="J8" s="8">
        <f t="shared" si="1"/>
        <v>0</v>
      </c>
    </row>
    <row r="9" spans="1:10" ht="12.75">
      <c r="A9" s="5">
        <f>PRRAS!I26</f>
        <v>8</v>
      </c>
      <c r="B9" s="5">
        <f>PRRAS!J26</f>
        <v>0</v>
      </c>
      <c r="C9" s="5">
        <f>PRRAS!K26</f>
        <v>0</v>
      </c>
      <c r="D9" s="8">
        <v>0</v>
      </c>
      <c r="E9" s="8">
        <v>0</v>
      </c>
      <c r="F9" s="7">
        <f t="shared" si="0"/>
        <v>0</v>
      </c>
      <c r="G9" s="6" t="str">
        <f>IF(RefStr!J17&lt;&gt;"",TEXT(INT(VALUE(RefStr!J17)),"00"),"00")</f>
        <v>15</v>
      </c>
      <c r="I9" s="9" t="s">
        <v>667</v>
      </c>
      <c r="J9" s="8">
        <f t="shared" si="1"/>
        <v>0</v>
      </c>
    </row>
    <row r="10" spans="1:10" ht="12.75">
      <c r="A10" s="5">
        <f>PRRAS!I27</f>
        <v>9</v>
      </c>
      <c r="B10" s="5">
        <f>PRRAS!J27</f>
        <v>0</v>
      </c>
      <c r="C10" s="5">
        <f>PRRAS!K27</f>
        <v>0</v>
      </c>
      <c r="D10" s="8">
        <v>0</v>
      </c>
      <c r="E10" s="8">
        <v>0</v>
      </c>
      <c r="F10" s="7">
        <f t="shared" si="0"/>
        <v>0</v>
      </c>
      <c r="G10" s="6" t="str">
        <f>TEXT(INT(VALUE(RefStr!C17)),"000")</f>
        <v>196</v>
      </c>
      <c r="I10" s="9" t="s">
        <v>668</v>
      </c>
      <c r="J10" s="8">
        <f t="shared" si="1"/>
        <v>0</v>
      </c>
    </row>
    <row r="11" spans="1:10" ht="12.75">
      <c r="A11" s="5">
        <f>PRRAS!I28</f>
        <v>10</v>
      </c>
      <c r="B11" s="5">
        <f>PRRAS!J28</f>
        <v>0</v>
      </c>
      <c r="C11" s="5">
        <f>PRRAS!K28</f>
        <v>0</v>
      </c>
      <c r="D11" s="8">
        <v>0</v>
      </c>
      <c r="E11" s="8">
        <v>0</v>
      </c>
      <c r="F11" s="7">
        <f t="shared" si="0"/>
        <v>0</v>
      </c>
      <c r="G11" s="6" t="s">
        <v>2848</v>
      </c>
      <c r="I11" s="11" t="s">
        <v>271</v>
      </c>
      <c r="J11" s="8">
        <f t="shared" si="1"/>
        <v>0</v>
      </c>
    </row>
    <row r="12" spans="1:10" ht="12.75">
      <c r="A12" s="5">
        <f>PRRAS!I29</f>
        <v>11</v>
      </c>
      <c r="B12" s="5">
        <f>PRRAS!J29</f>
        <v>31</v>
      </c>
      <c r="C12" s="5">
        <f>PRRAS!K29</f>
        <v>61</v>
      </c>
      <c r="D12" s="8">
        <v>0</v>
      </c>
      <c r="E12" s="8">
        <v>0</v>
      </c>
      <c r="F12" s="7">
        <f t="shared" si="0"/>
        <v>16.83</v>
      </c>
      <c r="G12" s="6" t="s">
        <v>2848</v>
      </c>
      <c r="I12" s="11" t="s">
        <v>272</v>
      </c>
      <c r="J12" s="8">
        <f t="shared" si="1"/>
        <v>0</v>
      </c>
    </row>
    <row r="13" spans="1:10" ht="12.75">
      <c r="A13" s="5">
        <f>PRRAS!I30</f>
        <v>12</v>
      </c>
      <c r="B13" s="5">
        <f>PRRAS!J30</f>
        <v>31</v>
      </c>
      <c r="C13" s="5">
        <f>PRRAS!K30</f>
        <v>61</v>
      </c>
      <c r="D13" s="8">
        <v>0</v>
      </c>
      <c r="E13" s="8">
        <v>0</v>
      </c>
      <c r="F13" s="7">
        <f t="shared" si="0"/>
        <v>18.36</v>
      </c>
      <c r="G13" s="6" t="s">
        <v>2848</v>
      </c>
      <c r="I13" s="11" t="s">
        <v>273</v>
      </c>
      <c r="J13" s="8">
        <f t="shared" si="1"/>
        <v>0</v>
      </c>
    </row>
    <row r="14" spans="1:10" ht="12.75">
      <c r="A14" s="5">
        <f>PRRAS!I31</f>
        <v>13</v>
      </c>
      <c r="B14" s="5">
        <f>PRRAS!J31</f>
        <v>0</v>
      </c>
      <c r="C14" s="5">
        <f>PRRAS!K31</f>
        <v>0</v>
      </c>
      <c r="D14" s="8">
        <v>0</v>
      </c>
      <c r="E14" s="8">
        <v>0</v>
      </c>
      <c r="F14" s="7">
        <f t="shared" si="0"/>
        <v>0</v>
      </c>
      <c r="G14" s="6" t="s">
        <v>2848</v>
      </c>
      <c r="I14" s="11" t="s">
        <v>274</v>
      </c>
      <c r="J14" s="8">
        <f t="shared" si="1"/>
        <v>0</v>
      </c>
    </row>
    <row r="15" spans="1:10" ht="12.75">
      <c r="A15" s="5">
        <f>PRRAS!I32</f>
        <v>14</v>
      </c>
      <c r="B15" s="5">
        <f>PRRAS!J32</f>
        <v>0</v>
      </c>
      <c r="C15" s="5">
        <f>PRRAS!K32</f>
        <v>0</v>
      </c>
      <c r="D15" s="8">
        <v>0</v>
      </c>
      <c r="E15" s="8">
        <v>0</v>
      </c>
      <c r="F15" s="7">
        <f t="shared" si="0"/>
        <v>0</v>
      </c>
      <c r="G15" s="6" t="s">
        <v>2848</v>
      </c>
      <c r="I15" s="11" t="s">
        <v>275</v>
      </c>
      <c r="J15" s="8">
        <f t="shared" si="1"/>
        <v>0</v>
      </c>
    </row>
    <row r="16" spans="1:10" ht="12.75">
      <c r="A16" s="5">
        <f>PRRAS!I33</f>
        <v>15</v>
      </c>
      <c r="B16" s="5">
        <f>PRRAS!J33</f>
        <v>3</v>
      </c>
      <c r="C16" s="5">
        <f>PRRAS!K33</f>
        <v>1</v>
      </c>
      <c r="D16" s="8">
        <v>0</v>
      </c>
      <c r="E16" s="8">
        <v>0</v>
      </c>
      <c r="F16" s="7">
        <f t="shared" si="0"/>
        <v>0.75</v>
      </c>
      <c r="G16" s="6" t="s">
        <v>2848</v>
      </c>
      <c r="I16" s="11" t="s">
        <v>276</v>
      </c>
      <c r="J16" s="8">
        <f t="shared" si="1"/>
        <v>0</v>
      </c>
    </row>
    <row r="17" spans="1:10" ht="12.75">
      <c r="A17" s="5">
        <f>PRRAS!I34</f>
        <v>16</v>
      </c>
      <c r="B17" s="5">
        <f>PRRAS!J34</f>
        <v>0</v>
      </c>
      <c r="C17" s="5">
        <f>PRRAS!K34</f>
        <v>0</v>
      </c>
      <c r="D17" s="8">
        <v>0</v>
      </c>
      <c r="E17" s="8">
        <v>0</v>
      </c>
      <c r="F17" s="7">
        <f t="shared" si="0"/>
        <v>0</v>
      </c>
      <c r="G17" s="6" t="s">
        <v>2848</v>
      </c>
      <c r="I17" s="11" t="s">
        <v>277</v>
      </c>
      <c r="J17" s="8">
        <f t="shared" si="1"/>
        <v>0</v>
      </c>
    </row>
    <row r="18" spans="1:10" ht="12.75">
      <c r="A18" s="5">
        <f>PRRAS!I35</f>
        <v>17</v>
      </c>
      <c r="B18" s="5">
        <f>PRRAS!J35</f>
        <v>28</v>
      </c>
      <c r="C18" s="5">
        <f>PRRAS!K35</f>
        <v>60</v>
      </c>
      <c r="D18" s="8">
        <v>0</v>
      </c>
      <c r="E18" s="8">
        <v>0</v>
      </c>
      <c r="F18" s="7">
        <f t="shared" si="0"/>
        <v>25.160000000000004</v>
      </c>
      <c r="G18" s="6" t="str">
        <f>IF(ISERROR(RefStr!D39),"-",UPPER(TRIM(RefStr!D39)))</f>
        <v>RADMILA BERIĆ</v>
      </c>
      <c r="I18" s="11" t="s">
        <v>278</v>
      </c>
      <c r="J18" s="8">
        <f t="shared" si="1"/>
        <v>0</v>
      </c>
    </row>
    <row r="19" spans="1:10" ht="12.75">
      <c r="A19" s="5">
        <f>PRRAS!I36</f>
        <v>18</v>
      </c>
      <c r="B19" s="5">
        <f>PRRAS!J36</f>
        <v>0</v>
      </c>
      <c r="C19" s="5">
        <f>PRRAS!K36</f>
        <v>0</v>
      </c>
      <c r="D19" s="8">
        <v>0</v>
      </c>
      <c r="E19" s="8">
        <v>0</v>
      </c>
      <c r="F19" s="7">
        <f t="shared" si="0"/>
        <v>0</v>
      </c>
      <c r="I19" s="11" t="s">
        <v>279</v>
      </c>
      <c r="J19" s="8">
        <f t="shared" si="1"/>
        <v>0</v>
      </c>
    </row>
    <row r="20" spans="1:10" ht="12.75">
      <c r="A20" s="5">
        <f>PRRAS!I37</f>
        <v>19</v>
      </c>
      <c r="B20" s="5">
        <f>PRRAS!J37</f>
        <v>0</v>
      </c>
      <c r="C20" s="5">
        <f>PRRAS!K37</f>
        <v>0</v>
      </c>
      <c r="D20" s="8">
        <v>0</v>
      </c>
      <c r="E20" s="8">
        <v>0</v>
      </c>
      <c r="F20" s="7">
        <f t="shared" si="0"/>
        <v>0</v>
      </c>
      <c r="G20" s="6" t="str">
        <f>IF(ISERROR(RefStr!D43),"-",UPPER(TRIM(RefStr!D43)))</f>
        <v>IVANA ĐURETIĆ</v>
      </c>
      <c r="I20" s="9" t="s">
        <v>280</v>
      </c>
      <c r="J20" s="8">
        <f t="shared" si="1"/>
        <v>0</v>
      </c>
    </row>
    <row r="21" spans="1:10" ht="12.75">
      <c r="A21" s="5">
        <f>PRRAS!I38</f>
        <v>20</v>
      </c>
      <c r="B21" s="5">
        <f>PRRAS!J38</f>
        <v>0</v>
      </c>
      <c r="C21" s="5">
        <f>PRRAS!K38</f>
        <v>0</v>
      </c>
      <c r="D21" s="8">
        <v>0</v>
      </c>
      <c r="E21" s="8">
        <v>0</v>
      </c>
      <c r="F21" s="7">
        <f t="shared" si="0"/>
        <v>0</v>
      </c>
      <c r="G21" s="6" t="str">
        <f>IF(ISERROR(RefStr!D45),"-",UPPER(TRIM(RefStr!D45)))</f>
        <v>0915445500</v>
      </c>
      <c r="I21" s="9" t="s">
        <v>281</v>
      </c>
      <c r="J21" s="8">
        <f t="shared" si="1"/>
        <v>0</v>
      </c>
    </row>
    <row r="22" spans="1:10" ht="12.75">
      <c r="A22" s="5">
        <f>PRRAS!I39</f>
        <v>21</v>
      </c>
      <c r="B22" s="5">
        <f>PRRAS!J39</f>
        <v>0</v>
      </c>
      <c r="C22" s="5">
        <f>PRRAS!K39</f>
        <v>0</v>
      </c>
      <c r="D22" s="8">
        <v>0</v>
      </c>
      <c r="E22" s="8">
        <v>0</v>
      </c>
      <c r="F22" s="7">
        <f t="shared" si="0"/>
        <v>0</v>
      </c>
      <c r="G22" s="6" t="str">
        <f>IF(ISERROR(RefStr!D47),"-",UPPER(TRIM(RefStr!D47)))</f>
        <v>-</v>
      </c>
      <c r="I22" s="11" t="s">
        <v>282</v>
      </c>
      <c r="J22" s="8">
        <f t="shared" si="1"/>
        <v>0</v>
      </c>
    </row>
    <row r="23" spans="1:10" ht="12.75">
      <c r="A23" s="5">
        <f>PRRAS!I40</f>
        <v>22</v>
      </c>
      <c r="B23" s="5">
        <f>PRRAS!J40</f>
        <v>0</v>
      </c>
      <c r="C23" s="5">
        <f>PRRAS!K40</f>
        <v>0</v>
      </c>
      <c r="D23" s="8">
        <v>0</v>
      </c>
      <c r="E23" s="8">
        <v>0</v>
      </c>
      <c r="F23" s="7">
        <f t="shared" si="0"/>
        <v>0</v>
      </c>
      <c r="G23" s="6" t="str">
        <f>IF(ISERROR(RefStr!D49),"-",LOWER(TRIM(RefStr!D49)))</f>
        <v>ivana.irissavjetovanje@gmail.com</v>
      </c>
      <c r="I23" s="11" t="s">
        <v>283</v>
      </c>
      <c r="J23" s="8">
        <f t="shared" si="1"/>
        <v>0</v>
      </c>
    </row>
    <row r="24" spans="1:10" ht="12.75">
      <c r="A24" s="5">
        <f>PRRAS!I41</f>
        <v>23</v>
      </c>
      <c r="B24" s="5">
        <f>PRRAS!J41</f>
        <v>0</v>
      </c>
      <c r="C24" s="5">
        <f>PRRAS!K41</f>
        <v>0</v>
      </c>
      <c r="D24" s="8">
        <v>0</v>
      </c>
      <c r="E24" s="8">
        <v>0</v>
      </c>
      <c r="F24" s="7">
        <f t="shared" si="0"/>
        <v>0</v>
      </c>
      <c r="I24" s="11" t="s">
        <v>284</v>
      </c>
      <c r="J24" s="8">
        <f t="shared" si="1"/>
        <v>0</v>
      </c>
    </row>
    <row r="25" spans="1:10" ht="12.75">
      <c r="A25" s="5">
        <f>PRRAS!I42</f>
        <v>24</v>
      </c>
      <c r="B25" s="5">
        <f>PRRAS!J42</f>
        <v>3355983</v>
      </c>
      <c r="C25" s="5">
        <f>PRRAS!K42</f>
        <v>2154583</v>
      </c>
      <c r="D25" s="8">
        <v>0</v>
      </c>
      <c r="E25" s="8">
        <v>0</v>
      </c>
      <c r="F25" s="7">
        <f t="shared" si="0"/>
        <v>1839635.7599999998</v>
      </c>
      <c r="I25" s="11" t="s">
        <v>285</v>
      </c>
      <c r="J25" s="8">
        <f t="shared" si="1"/>
        <v>0</v>
      </c>
    </row>
    <row r="26" spans="1:10" ht="12.75">
      <c r="A26" s="5">
        <f>PRRAS!I43</f>
        <v>25</v>
      </c>
      <c r="B26" s="5">
        <f>PRRAS!J43</f>
        <v>2934813</v>
      </c>
      <c r="C26" s="5">
        <f>PRRAS!K43</f>
        <v>1871567</v>
      </c>
      <c r="D26" s="8">
        <v>0</v>
      </c>
      <c r="E26" s="8">
        <v>0</v>
      </c>
      <c r="F26" s="7">
        <f t="shared" si="0"/>
        <v>1669486.75</v>
      </c>
      <c r="G26" s="6" t="str">
        <f>MID(TRIM(RefStr!J15),1,4)</f>
        <v>2022</v>
      </c>
      <c r="I26" s="9" t="s">
        <v>286</v>
      </c>
      <c r="J26" s="8">
        <f t="shared" si="1"/>
        <v>0</v>
      </c>
    </row>
    <row r="27" spans="1:10" ht="12.75">
      <c r="A27" s="5">
        <f>PRRAS!I44</f>
        <v>26</v>
      </c>
      <c r="B27" s="5">
        <f>PRRAS!J44</f>
        <v>2380236</v>
      </c>
      <c r="C27" s="5">
        <f>PRRAS!K44</f>
        <v>1398327</v>
      </c>
      <c r="D27" s="8">
        <v>0</v>
      </c>
      <c r="E27" s="8">
        <v>0</v>
      </c>
      <c r="F27" s="7">
        <f t="shared" si="0"/>
        <v>1345991.4</v>
      </c>
      <c r="G27" s="234">
        <f>SUM(F2:F172)</f>
        <v>62647870.07</v>
      </c>
      <c r="I27" s="9" t="s">
        <v>2836</v>
      </c>
      <c r="J27" s="8">
        <f t="shared" si="1"/>
        <v>0</v>
      </c>
    </row>
    <row r="28" spans="1:10" ht="12.75">
      <c r="A28" s="5">
        <f>PRRAS!I45</f>
        <v>27</v>
      </c>
      <c r="B28" s="5">
        <f>PRRAS!J45</f>
        <v>16426</v>
      </c>
      <c r="C28" s="5">
        <f>PRRAS!K45</f>
        <v>25320</v>
      </c>
      <c r="D28" s="8">
        <v>0</v>
      </c>
      <c r="E28" s="8">
        <v>0</v>
      </c>
      <c r="F28" s="7">
        <f t="shared" si="0"/>
        <v>18107.82</v>
      </c>
      <c r="G28" s="6" t="s">
        <v>2848</v>
      </c>
      <c r="H28" s="14"/>
      <c r="I28" s="9" t="s">
        <v>2837</v>
      </c>
      <c r="J28" s="8">
        <f t="shared" si="1"/>
        <v>0</v>
      </c>
    </row>
    <row r="29" spans="1:10" ht="12.75">
      <c r="A29" s="5">
        <f>PRRAS!I46</f>
        <v>28</v>
      </c>
      <c r="B29" s="5">
        <f>PRRAS!J46</f>
        <v>538151</v>
      </c>
      <c r="C29" s="5">
        <f>PRRAS!K46</f>
        <v>447920</v>
      </c>
      <c r="D29" s="8">
        <v>0</v>
      </c>
      <c r="E29" s="8">
        <v>0</v>
      </c>
      <c r="F29" s="7">
        <f t="shared" si="0"/>
        <v>401517.48000000004</v>
      </c>
      <c r="G29" s="6" t="str">
        <f>MID(TRIM(RefStr!J15),6,2)</f>
        <v>12</v>
      </c>
      <c r="I29" s="9" t="s">
        <v>2838</v>
      </c>
      <c r="J29" s="8">
        <f t="shared" si="1"/>
        <v>0</v>
      </c>
    </row>
    <row r="30" spans="1:10" ht="12.75">
      <c r="A30" s="5">
        <f>PRRAS!I47</f>
        <v>29</v>
      </c>
      <c r="B30" s="5">
        <f>PRRAS!J47</f>
        <v>0</v>
      </c>
      <c r="C30" s="5">
        <f>PRRAS!K47</f>
        <v>0</v>
      </c>
      <c r="D30" s="8">
        <v>0</v>
      </c>
      <c r="E30" s="8">
        <v>0</v>
      </c>
      <c r="F30" s="7">
        <f t="shared" si="0"/>
        <v>0</v>
      </c>
      <c r="G30" s="6">
        <v>603</v>
      </c>
      <c r="I30" s="9" t="s">
        <v>2839</v>
      </c>
      <c r="J30" s="8">
        <f t="shared" si="1"/>
        <v>0</v>
      </c>
    </row>
    <row r="31" spans="1:10" ht="12.75">
      <c r="A31" s="5">
        <f>PRRAS!I48</f>
        <v>30</v>
      </c>
      <c r="B31" s="5">
        <f>PRRAS!J48</f>
        <v>153206</v>
      </c>
      <c r="C31" s="5">
        <f>PRRAS!K48</f>
        <v>135339</v>
      </c>
      <c r="D31" s="8">
        <v>0</v>
      </c>
      <c r="E31" s="8">
        <v>0</v>
      </c>
      <c r="F31" s="7">
        <f t="shared" si="0"/>
        <v>127165.19999999998</v>
      </c>
      <c r="G31" s="6">
        <v>707</v>
      </c>
      <c r="I31" s="9" t="s">
        <v>2840</v>
      </c>
      <c r="J31" s="8">
        <f t="shared" si="1"/>
        <v>0</v>
      </c>
    </row>
    <row r="32" spans="1:10" ht="12.75">
      <c r="A32" s="5">
        <f>PRRAS!I49</f>
        <v>31</v>
      </c>
      <c r="B32" s="5">
        <f>PRRAS!J49</f>
        <v>153206</v>
      </c>
      <c r="C32" s="5">
        <f>PRRAS!K49</f>
        <v>135339</v>
      </c>
      <c r="D32" s="8">
        <v>0</v>
      </c>
      <c r="E32" s="8">
        <v>0</v>
      </c>
      <c r="F32" s="7">
        <f t="shared" si="0"/>
        <v>131404.03999999998</v>
      </c>
      <c r="G32" s="6">
        <v>0</v>
      </c>
      <c r="I32" s="9" t="s">
        <v>2841</v>
      </c>
      <c r="J32" s="8">
        <f t="shared" si="1"/>
        <v>0</v>
      </c>
    </row>
    <row r="33" spans="1:10" ht="12.75">
      <c r="A33" s="5">
        <f>PRRAS!I50</f>
        <v>32</v>
      </c>
      <c r="B33" s="5">
        <f>PRRAS!J50</f>
        <v>0</v>
      </c>
      <c r="C33" s="5">
        <f>PRRAS!K50</f>
        <v>0</v>
      </c>
      <c r="D33" s="8">
        <v>0</v>
      </c>
      <c r="E33" s="8">
        <v>0</v>
      </c>
      <c r="F33" s="7">
        <f t="shared" si="0"/>
        <v>0</v>
      </c>
      <c r="G33" s="6">
        <v>0</v>
      </c>
      <c r="I33" s="9" t="s">
        <v>2842</v>
      </c>
      <c r="J33" s="8">
        <f t="shared" si="1"/>
        <v>0</v>
      </c>
    </row>
    <row r="34" spans="1:10" ht="12.75">
      <c r="A34" s="5">
        <f>PRRAS!I51</f>
        <v>33</v>
      </c>
      <c r="B34" s="5">
        <f>PRRAS!J51</f>
        <v>189008</v>
      </c>
      <c r="C34" s="5">
        <f>PRRAS!K51</f>
        <v>4917</v>
      </c>
      <c r="D34" s="8">
        <v>0</v>
      </c>
      <c r="E34" s="8">
        <v>0</v>
      </c>
      <c r="F34" s="7">
        <f aca="true" t="shared" si="2" ref="F34:F65">A34/100*B34+A34/50*C34</f>
        <v>65617.86</v>
      </c>
      <c r="G34" s="6">
        <v>0</v>
      </c>
      <c r="I34" s="9" t="s">
        <v>2843</v>
      </c>
      <c r="J34" s="8">
        <f aca="true" t="shared" si="3" ref="J34:J65">ABS(B34-ROUND(B34,0))+ABS(C34-ROUND(C34,0))</f>
        <v>0</v>
      </c>
    </row>
    <row r="35" spans="1:10" ht="12.75">
      <c r="A35" s="5">
        <f>PRRAS!I52</f>
        <v>34</v>
      </c>
      <c r="B35" s="5">
        <f>PRRAS!J52</f>
        <v>0</v>
      </c>
      <c r="C35" s="5">
        <f>PRRAS!K52</f>
        <v>4917</v>
      </c>
      <c r="D35" s="8">
        <v>0</v>
      </c>
      <c r="E35" s="8">
        <v>0</v>
      </c>
      <c r="F35" s="7">
        <f t="shared" si="2"/>
        <v>3343.5600000000004</v>
      </c>
      <c r="G35" s="6">
        <v>0</v>
      </c>
      <c r="I35" s="9" t="s">
        <v>2844</v>
      </c>
      <c r="J35" s="8">
        <f t="shared" si="3"/>
        <v>0</v>
      </c>
    </row>
    <row r="36" spans="1:10" ht="12.75">
      <c r="A36" s="5">
        <f>PRRAS!I53</f>
        <v>35</v>
      </c>
      <c r="B36" s="5">
        <f>PRRAS!J53</f>
        <v>189008</v>
      </c>
      <c r="C36" s="5">
        <f>PRRAS!K53</f>
        <v>0</v>
      </c>
      <c r="D36" s="8">
        <v>0</v>
      </c>
      <c r="E36" s="8">
        <v>0</v>
      </c>
      <c r="F36" s="7">
        <f t="shared" si="2"/>
        <v>66152.8</v>
      </c>
      <c r="G36" s="6">
        <v>0</v>
      </c>
      <c r="I36" s="9" t="s">
        <v>2845</v>
      </c>
      <c r="J36" s="8">
        <f t="shared" si="3"/>
        <v>0</v>
      </c>
    </row>
    <row r="37" spans="1:10" ht="12.75">
      <c r="A37" s="5">
        <f>PRRAS!I54</f>
        <v>36</v>
      </c>
      <c r="B37" s="5">
        <f>PRRAS!J54</f>
        <v>78956</v>
      </c>
      <c r="C37" s="5">
        <f>PRRAS!K54</f>
        <v>142760</v>
      </c>
      <c r="D37" s="8">
        <v>0</v>
      </c>
      <c r="E37" s="8">
        <v>0</v>
      </c>
      <c r="F37" s="7">
        <f t="shared" si="2"/>
        <v>131211.36</v>
      </c>
      <c r="G37" s="8">
        <f>SUM(J2:J49)</f>
        <v>0</v>
      </c>
      <c r="I37" s="9" t="s">
        <v>2846</v>
      </c>
      <c r="J37" s="8">
        <f t="shared" si="3"/>
        <v>0</v>
      </c>
    </row>
    <row r="38" spans="1:10" ht="12.75">
      <c r="A38" s="5">
        <f>PRRAS!I55</f>
        <v>37</v>
      </c>
      <c r="B38" s="5">
        <f>PRRAS!J55</f>
        <v>0</v>
      </c>
      <c r="C38" s="5">
        <f>PRRAS!K55</f>
        <v>0</v>
      </c>
      <c r="D38" s="8">
        <v>0</v>
      </c>
      <c r="E38" s="8">
        <v>0</v>
      </c>
      <c r="F38" s="7">
        <f t="shared" si="2"/>
        <v>0</v>
      </c>
      <c r="G38" s="6" t="str">
        <f>TEXT(INT(VALUE(RefStr!J13)),"00000000000")</f>
        <v>79896958112</v>
      </c>
      <c r="I38" s="9" t="s">
        <v>2664</v>
      </c>
      <c r="J38" s="8">
        <f t="shared" si="3"/>
        <v>0</v>
      </c>
    </row>
    <row r="39" spans="1:10" ht="12.75">
      <c r="A39" s="5">
        <f>PRRAS!I56</f>
        <v>38</v>
      </c>
      <c r="B39" s="5">
        <f>PRRAS!J56</f>
        <v>0</v>
      </c>
      <c r="C39" s="5">
        <f>PRRAS!K56</f>
        <v>0</v>
      </c>
      <c r="D39" s="8">
        <v>0</v>
      </c>
      <c r="E39" s="8">
        <v>0</v>
      </c>
      <c r="F39" s="7">
        <f t="shared" si="2"/>
        <v>0</v>
      </c>
      <c r="G39" s="6" t="str">
        <f>TEXT(INT(VALUE(RefStr!J9)),"00000")</f>
        <v>238904</v>
      </c>
      <c r="I39" s="9" t="s">
        <v>2663</v>
      </c>
      <c r="J39" s="8">
        <f t="shared" si="3"/>
        <v>0</v>
      </c>
    </row>
    <row r="40" spans="1:10" ht="12.75">
      <c r="A40" s="5">
        <f>PRRAS!I57</f>
        <v>39</v>
      </c>
      <c r="B40" s="5">
        <f>PRRAS!J57</f>
        <v>0</v>
      </c>
      <c r="C40" s="5">
        <f>PRRAS!K57</f>
        <v>0</v>
      </c>
      <c r="D40" s="8">
        <v>0</v>
      </c>
      <c r="E40" s="8">
        <v>0</v>
      </c>
      <c r="F40" s="7">
        <f t="shared" si="2"/>
        <v>0</v>
      </c>
      <c r="G40" s="6" t="str">
        <f>RefStr!J19</f>
        <v>DA</v>
      </c>
      <c r="I40" s="9" t="s">
        <v>2057</v>
      </c>
      <c r="J40" s="8">
        <f t="shared" si="3"/>
        <v>0</v>
      </c>
    </row>
    <row r="41" spans="1:10" ht="12.75">
      <c r="A41" s="5">
        <f>PRRAS!I58</f>
        <v>40</v>
      </c>
      <c r="B41" s="5">
        <f>PRRAS!J58</f>
        <v>0</v>
      </c>
      <c r="C41" s="5">
        <f>PRRAS!K58</f>
        <v>0</v>
      </c>
      <c r="D41" s="8">
        <v>0</v>
      </c>
      <c r="E41" s="8">
        <v>0</v>
      </c>
      <c r="F41" s="7">
        <f t="shared" si="2"/>
        <v>0</v>
      </c>
      <c r="G41" s="6" t="str">
        <f>IF(RefStr!E5&lt;&gt;"",TEXT(RefStr!E5,"YYYYMMDD"),"")</f>
        <v>20220101</v>
      </c>
      <c r="I41" s="9" t="s">
        <v>1437</v>
      </c>
      <c r="J41" s="8">
        <f t="shared" si="3"/>
        <v>0</v>
      </c>
    </row>
    <row r="42" spans="1:10" ht="12.75">
      <c r="A42" s="5">
        <f>PRRAS!I59</f>
        <v>41</v>
      </c>
      <c r="B42" s="5">
        <f>PRRAS!J59</f>
        <v>0</v>
      </c>
      <c r="C42" s="5">
        <f>PRRAS!K59</f>
        <v>0</v>
      </c>
      <c r="D42" s="8">
        <v>0</v>
      </c>
      <c r="E42" s="8">
        <v>0</v>
      </c>
      <c r="F42" s="7">
        <f t="shared" si="2"/>
        <v>0</v>
      </c>
      <c r="G42" s="6" t="str">
        <f>IF(RefStr!G5&lt;&gt;"",TEXT(RefStr!G5,"YYYYMMDD"),"")</f>
        <v>20221231</v>
      </c>
      <c r="I42" s="9" t="s">
        <v>1438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252074451.79</v>
      </c>
      <c r="I43" s="9" t="s">
        <v>1724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3107736</v>
      </c>
      <c r="C55" s="5">
        <f>PRRAS!K73</f>
        <v>2136980</v>
      </c>
      <c r="D55" s="8">
        <v>0</v>
      </c>
      <c r="E55" s="8">
        <v>0</v>
      </c>
      <c r="F55" s="7">
        <f t="shared" si="2"/>
        <v>3986115.840000001</v>
      </c>
      <c r="J55" s="8">
        <f t="shared" si="3"/>
        <v>0</v>
      </c>
    </row>
    <row r="56" spans="1:10" ht="12.75">
      <c r="A56" s="5">
        <f>PRRAS!I74</f>
        <v>55</v>
      </c>
      <c r="B56" s="5">
        <f>PRRAS!J74</f>
        <v>2373792</v>
      </c>
      <c r="C56" s="5">
        <f>PRRAS!K74</f>
        <v>1449968</v>
      </c>
      <c r="D56" s="8">
        <v>0</v>
      </c>
      <c r="E56" s="8">
        <v>0</v>
      </c>
      <c r="F56" s="7">
        <f t="shared" si="2"/>
        <v>2900550.4000000004</v>
      </c>
      <c r="J56" s="8">
        <f t="shared" si="3"/>
        <v>0</v>
      </c>
    </row>
    <row r="57" spans="1:10" ht="12.75">
      <c r="A57" s="5">
        <f>PRRAS!I75</f>
        <v>56</v>
      </c>
      <c r="B57" s="5">
        <f>PRRAS!J75</f>
        <v>1934328</v>
      </c>
      <c r="C57" s="5">
        <f>PRRAS!K75</f>
        <v>1231732</v>
      </c>
      <c r="D57" s="8">
        <v>0</v>
      </c>
      <c r="E57" s="8">
        <v>0</v>
      </c>
      <c r="F57" s="7">
        <f t="shared" si="2"/>
        <v>2462763.5200000005</v>
      </c>
      <c r="J57" s="8">
        <f t="shared" si="3"/>
        <v>0</v>
      </c>
    </row>
    <row r="58" spans="1:10" ht="12.75">
      <c r="A58" s="5">
        <f>PRRAS!I76</f>
        <v>57</v>
      </c>
      <c r="B58" s="5">
        <f>PRRAS!J76</f>
        <v>1934328</v>
      </c>
      <c r="C58" s="5">
        <f>PRRAS!K76</f>
        <v>1231732</v>
      </c>
      <c r="D58" s="8">
        <v>0</v>
      </c>
      <c r="E58" s="8">
        <v>0</v>
      </c>
      <c r="F58" s="7">
        <f t="shared" si="2"/>
        <v>2506741.44</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120300</v>
      </c>
      <c r="C62" s="5">
        <f>PRRAS!K80</f>
        <v>15000</v>
      </c>
      <c r="D62" s="8">
        <v>0</v>
      </c>
      <c r="E62" s="8">
        <v>0</v>
      </c>
      <c r="F62" s="7">
        <f t="shared" si="2"/>
        <v>91683</v>
      </c>
      <c r="J62" s="8">
        <f t="shared" si="3"/>
        <v>0</v>
      </c>
    </row>
    <row r="63" spans="1:10" ht="12.75">
      <c r="A63" s="5">
        <f>PRRAS!I81</f>
        <v>62</v>
      </c>
      <c r="B63" s="5">
        <f>PRRAS!J81</f>
        <v>319164</v>
      </c>
      <c r="C63" s="5">
        <f>PRRAS!K81</f>
        <v>203236</v>
      </c>
      <c r="D63" s="8">
        <v>0</v>
      </c>
      <c r="E63" s="8">
        <v>0</v>
      </c>
      <c r="F63" s="7">
        <f t="shared" si="2"/>
        <v>449894.31999999995</v>
      </c>
      <c r="J63" s="8">
        <f t="shared" si="3"/>
        <v>0</v>
      </c>
    </row>
    <row r="64" spans="1:10" ht="12.75">
      <c r="A64" s="5">
        <f>PRRAS!I82</f>
        <v>63</v>
      </c>
      <c r="B64" s="5">
        <f>PRRAS!J82</f>
        <v>319164</v>
      </c>
      <c r="C64" s="5">
        <f>PRRAS!K82</f>
        <v>203236</v>
      </c>
      <c r="D64" s="8">
        <v>0</v>
      </c>
      <c r="E64" s="8">
        <v>0</v>
      </c>
      <c r="F64" s="7">
        <f t="shared" si="2"/>
        <v>457150.68000000005</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654931</v>
      </c>
      <c r="C68" s="5">
        <f>PRRAS!K86</f>
        <v>493567</v>
      </c>
      <c r="D68" s="8">
        <v>0</v>
      </c>
      <c r="E68" s="8">
        <v>0</v>
      </c>
      <c r="F68" s="7">
        <f t="shared" si="4"/>
        <v>1100183.55</v>
      </c>
      <c r="J68" s="8">
        <f t="shared" si="5"/>
        <v>0</v>
      </c>
    </row>
    <row r="69" spans="1:10" ht="12.75">
      <c r="A69" s="5">
        <f>PRRAS!I87</f>
        <v>68</v>
      </c>
      <c r="B69" s="5">
        <f>PRRAS!J87</f>
        <v>76283</v>
      </c>
      <c r="C69" s="5">
        <f>PRRAS!K87</f>
        <v>80796</v>
      </c>
      <c r="D69" s="8">
        <v>0</v>
      </c>
      <c r="E69" s="8">
        <v>0</v>
      </c>
      <c r="F69" s="7">
        <f t="shared" si="4"/>
        <v>161755</v>
      </c>
      <c r="J69" s="8">
        <f t="shared" si="5"/>
        <v>0</v>
      </c>
    </row>
    <row r="70" spans="1:10" ht="12.75">
      <c r="A70" s="5">
        <f>PRRAS!I88</f>
        <v>69</v>
      </c>
      <c r="B70" s="5">
        <f>PRRAS!J88</f>
        <v>8188</v>
      </c>
      <c r="C70" s="5">
        <f>PRRAS!K88</f>
        <v>11934</v>
      </c>
      <c r="D70" s="8">
        <v>0</v>
      </c>
      <c r="E70" s="8">
        <v>0</v>
      </c>
      <c r="F70" s="7">
        <f t="shared" si="4"/>
        <v>22118.64</v>
      </c>
      <c r="J70" s="8">
        <f t="shared" si="5"/>
        <v>0</v>
      </c>
    </row>
    <row r="71" spans="1:10" ht="12.75">
      <c r="A71" s="5">
        <f>PRRAS!I89</f>
        <v>70</v>
      </c>
      <c r="B71" s="5">
        <f>PRRAS!J89</f>
        <v>68095</v>
      </c>
      <c r="C71" s="5">
        <f>PRRAS!K89</f>
        <v>61956</v>
      </c>
      <c r="D71" s="8">
        <v>0</v>
      </c>
      <c r="E71" s="8">
        <v>0</v>
      </c>
      <c r="F71" s="7">
        <f t="shared" si="4"/>
        <v>134404.9</v>
      </c>
      <c r="J71" s="8">
        <f t="shared" si="5"/>
        <v>0</v>
      </c>
    </row>
    <row r="72" spans="1:10" ht="12.75">
      <c r="A72" s="5">
        <f>PRRAS!I90</f>
        <v>71</v>
      </c>
      <c r="B72" s="5">
        <f>PRRAS!J90</f>
        <v>0</v>
      </c>
      <c r="C72" s="5">
        <f>PRRAS!K90</f>
        <v>6906</v>
      </c>
      <c r="D72" s="8">
        <v>0</v>
      </c>
      <c r="E72" s="8">
        <v>0</v>
      </c>
      <c r="F72" s="7">
        <f t="shared" si="4"/>
        <v>9806.519999999999</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138630</v>
      </c>
      <c r="C78" s="5">
        <f>PRRAS!K96</f>
        <v>24432</v>
      </c>
      <c r="D78" s="8">
        <v>0</v>
      </c>
      <c r="E78" s="8">
        <v>0</v>
      </c>
      <c r="F78" s="7">
        <f t="shared" si="4"/>
        <v>144370.38</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63630</v>
      </c>
      <c r="C80" s="5">
        <f>PRRAS!K98</f>
        <v>24432</v>
      </c>
      <c r="D80" s="8">
        <v>0</v>
      </c>
      <c r="E80" s="8">
        <v>0</v>
      </c>
      <c r="F80" s="7">
        <f t="shared" si="4"/>
        <v>88870.26000000001</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75000</v>
      </c>
      <c r="C82" s="5">
        <f>PRRAS!K100</f>
        <v>0</v>
      </c>
      <c r="D82" s="8">
        <v>0</v>
      </c>
      <c r="E82" s="8">
        <v>0</v>
      </c>
      <c r="F82" s="7">
        <f t="shared" si="4"/>
        <v>60750.00000000001</v>
      </c>
      <c r="J82" s="8">
        <f t="shared" si="5"/>
        <v>0</v>
      </c>
    </row>
    <row r="83" spans="1:10" ht="12.75">
      <c r="A83" s="5">
        <f>PRRAS!I101</f>
        <v>82</v>
      </c>
      <c r="B83" s="5">
        <f>PRRAS!J101</f>
        <v>0</v>
      </c>
      <c r="C83" s="5">
        <f>PRRAS!K101</f>
        <v>0</v>
      </c>
      <c r="D83" s="8">
        <v>0</v>
      </c>
      <c r="E83" s="8">
        <v>0</v>
      </c>
      <c r="F83" s="7">
        <f t="shared" si="4"/>
        <v>0</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116067</v>
      </c>
      <c r="C88" s="5">
        <f>PRRAS!K106</f>
        <v>117466</v>
      </c>
      <c r="D88" s="8">
        <v>0</v>
      </c>
      <c r="E88" s="8">
        <v>0</v>
      </c>
      <c r="F88" s="7">
        <f t="shared" si="4"/>
        <v>305369.13</v>
      </c>
      <c r="J88" s="8">
        <f t="shared" si="5"/>
        <v>0</v>
      </c>
    </row>
    <row r="89" spans="1:10" ht="12.75">
      <c r="A89" s="5">
        <f>PRRAS!I107</f>
        <v>88</v>
      </c>
      <c r="B89" s="5">
        <f>PRRAS!J107</f>
        <v>18030</v>
      </c>
      <c r="C89" s="5">
        <f>PRRAS!K107</f>
        <v>16206</v>
      </c>
      <c r="D89" s="8">
        <v>0</v>
      </c>
      <c r="E89" s="8">
        <v>0</v>
      </c>
      <c r="F89" s="7">
        <f t="shared" si="4"/>
        <v>44388.96</v>
      </c>
      <c r="J89" s="8">
        <f t="shared" si="5"/>
        <v>0</v>
      </c>
    </row>
    <row r="90" spans="1:10" ht="12.75">
      <c r="A90" s="5">
        <f>PRRAS!I108</f>
        <v>89</v>
      </c>
      <c r="B90" s="5">
        <f>PRRAS!J108</f>
        <v>2500</v>
      </c>
      <c r="C90" s="5">
        <f>PRRAS!K108</f>
        <v>4253</v>
      </c>
      <c r="D90" s="8">
        <v>0</v>
      </c>
      <c r="E90" s="8">
        <v>0</v>
      </c>
      <c r="F90" s="7">
        <f t="shared" si="4"/>
        <v>9795.34</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1432</v>
      </c>
      <c r="C92" s="5">
        <f>PRRAS!K110</f>
        <v>1432</v>
      </c>
      <c r="D92" s="8">
        <v>0</v>
      </c>
      <c r="E92" s="8">
        <v>0</v>
      </c>
      <c r="F92" s="7">
        <f t="shared" si="4"/>
        <v>3909.3600000000006</v>
      </c>
      <c r="J92" s="8">
        <f t="shared" si="5"/>
        <v>0</v>
      </c>
    </row>
    <row r="93" spans="1:10" ht="12.75">
      <c r="A93" s="5">
        <f>PRRAS!I111</f>
        <v>92</v>
      </c>
      <c r="B93" s="5">
        <f>PRRAS!J111</f>
        <v>0</v>
      </c>
      <c r="C93" s="5">
        <f>PRRAS!K111</f>
        <v>775</v>
      </c>
      <c r="D93" s="8">
        <v>0</v>
      </c>
      <c r="E93" s="8">
        <v>0</v>
      </c>
      <c r="F93" s="7">
        <f t="shared" si="4"/>
        <v>1426</v>
      </c>
      <c r="J93" s="8">
        <f t="shared" si="5"/>
        <v>0</v>
      </c>
    </row>
    <row r="94" spans="1:10" ht="12.75">
      <c r="A94" s="5">
        <f>PRRAS!I112</f>
        <v>93</v>
      </c>
      <c r="B94" s="5">
        <f>PRRAS!J112</f>
        <v>963</v>
      </c>
      <c r="C94" s="5">
        <f>PRRAS!K112</f>
        <v>2626</v>
      </c>
      <c r="D94" s="8">
        <v>0</v>
      </c>
      <c r="E94" s="8">
        <v>0</v>
      </c>
      <c r="F94" s="7">
        <f t="shared" si="4"/>
        <v>5779.950000000001</v>
      </c>
      <c r="J94" s="8">
        <f t="shared" si="5"/>
        <v>0</v>
      </c>
    </row>
    <row r="95" spans="1:10" ht="12.75">
      <c r="A95" s="5">
        <f>PRRAS!I113</f>
        <v>94</v>
      </c>
      <c r="B95" s="5">
        <f>PRRAS!J113</f>
        <v>86234</v>
      </c>
      <c r="C95" s="5">
        <f>PRRAS!K113</f>
        <v>63846</v>
      </c>
      <c r="D95" s="8">
        <v>0</v>
      </c>
      <c r="E95" s="8">
        <v>0</v>
      </c>
      <c r="F95" s="7">
        <f t="shared" si="4"/>
        <v>201090.44</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6908</v>
      </c>
      <c r="C97" s="5">
        <f>PRRAS!K115</f>
        <v>28328</v>
      </c>
      <c r="D97" s="8">
        <v>0</v>
      </c>
      <c r="E97" s="8">
        <v>0</v>
      </c>
      <c r="F97" s="7">
        <f t="shared" si="4"/>
        <v>61021.439999999995</v>
      </c>
      <c r="J97" s="8">
        <f t="shared" si="5"/>
        <v>0</v>
      </c>
    </row>
    <row r="98" spans="1:10" ht="12.75">
      <c r="A98" s="5">
        <f>PRRAS!I116</f>
        <v>97</v>
      </c>
      <c r="B98" s="5">
        <f>PRRAS!J116</f>
        <v>300188</v>
      </c>
      <c r="C98" s="5">
        <f>PRRAS!K116</f>
        <v>257844</v>
      </c>
      <c r="D98" s="8">
        <v>0</v>
      </c>
      <c r="E98" s="8">
        <v>0</v>
      </c>
      <c r="F98" s="7">
        <f aca="true" t="shared" si="6" ref="F98:F129">A98/100*B98+A98/50*C98</f>
        <v>791399.72</v>
      </c>
      <c r="J98" s="8">
        <f aca="true" t="shared" si="7" ref="J98:J129">ABS(B98-ROUND(B98,0))+ABS(C98-ROUND(C98,0))</f>
        <v>0</v>
      </c>
    </row>
    <row r="99" spans="1:10" ht="12.75">
      <c r="A99" s="5">
        <f>PRRAS!I117</f>
        <v>98</v>
      </c>
      <c r="B99" s="5">
        <f>PRRAS!J117</f>
        <v>142863</v>
      </c>
      <c r="C99" s="5">
        <f>PRRAS!K117</f>
        <v>34067</v>
      </c>
      <c r="D99" s="8">
        <v>0</v>
      </c>
      <c r="E99" s="8">
        <v>0</v>
      </c>
      <c r="F99" s="7">
        <f t="shared" si="6"/>
        <v>206777.06</v>
      </c>
      <c r="J99" s="8">
        <f t="shared" si="7"/>
        <v>0</v>
      </c>
    </row>
    <row r="100" spans="1:10" ht="12.75">
      <c r="A100" s="5">
        <f>PRRAS!I118</f>
        <v>99</v>
      </c>
      <c r="B100" s="5">
        <f>PRRAS!J118</f>
        <v>81797</v>
      </c>
      <c r="C100" s="5">
        <f>PRRAS!K118</f>
        <v>125627</v>
      </c>
      <c r="D100" s="8">
        <v>0</v>
      </c>
      <c r="E100" s="8">
        <v>0</v>
      </c>
      <c r="F100" s="7">
        <f t="shared" si="6"/>
        <v>329720.49</v>
      </c>
      <c r="J100" s="8">
        <f t="shared" si="7"/>
        <v>0</v>
      </c>
    </row>
    <row r="101" spans="1:10" ht="12.75">
      <c r="A101" s="5">
        <f>PRRAS!I119</f>
        <v>100</v>
      </c>
      <c r="B101" s="5">
        <f>PRRAS!J119</f>
        <v>46950</v>
      </c>
      <c r="C101" s="5">
        <f>PRRAS!K119</f>
        <v>76351</v>
      </c>
      <c r="D101" s="8">
        <v>0</v>
      </c>
      <c r="E101" s="8">
        <v>0</v>
      </c>
      <c r="F101" s="7">
        <f t="shared" si="6"/>
        <v>199652</v>
      </c>
      <c r="J101" s="8">
        <f t="shared" si="7"/>
        <v>0</v>
      </c>
    </row>
    <row r="102" spans="1:10" ht="12.75">
      <c r="A102" s="5">
        <f>PRRAS!I120</f>
        <v>101</v>
      </c>
      <c r="B102" s="5">
        <f>PRRAS!J120</f>
        <v>28578</v>
      </c>
      <c r="C102" s="5">
        <f>PRRAS!K120</f>
        <v>21799</v>
      </c>
      <c r="D102" s="8">
        <v>0</v>
      </c>
      <c r="E102" s="8">
        <v>0</v>
      </c>
      <c r="F102" s="7">
        <f t="shared" si="6"/>
        <v>72897.76000000001</v>
      </c>
      <c r="J102" s="8">
        <f t="shared" si="7"/>
        <v>0</v>
      </c>
    </row>
    <row r="103" spans="1:10" ht="12.75">
      <c r="A103" s="5">
        <f>PRRAS!I121</f>
        <v>102</v>
      </c>
      <c r="B103" s="5">
        <f>PRRAS!J121</f>
        <v>23763</v>
      </c>
      <c r="C103" s="5">
        <f>PRRAS!K121</f>
        <v>13029</v>
      </c>
      <c r="D103" s="8">
        <v>0</v>
      </c>
      <c r="E103" s="8">
        <v>0</v>
      </c>
      <c r="F103" s="7">
        <f t="shared" si="6"/>
        <v>50817.42</v>
      </c>
      <c r="J103" s="8">
        <f t="shared" si="7"/>
        <v>0</v>
      </c>
    </row>
    <row r="104" spans="1:10" ht="12.75">
      <c r="A104" s="5">
        <f>PRRAS!I122</f>
        <v>103</v>
      </c>
      <c r="B104" s="5">
        <f>PRRAS!J122</f>
        <v>7396</v>
      </c>
      <c r="C104" s="5">
        <f>PRRAS!K122</f>
        <v>7564</v>
      </c>
      <c r="D104" s="8">
        <v>0</v>
      </c>
      <c r="E104" s="8">
        <v>0</v>
      </c>
      <c r="F104" s="7">
        <f t="shared" si="6"/>
        <v>23199.72</v>
      </c>
      <c r="J104" s="8">
        <f t="shared" si="7"/>
        <v>0</v>
      </c>
    </row>
    <row r="105" spans="1:10" ht="12.75">
      <c r="A105" s="5">
        <f>PRRAS!I123</f>
        <v>104</v>
      </c>
      <c r="B105" s="5">
        <f>PRRAS!J123</f>
        <v>660</v>
      </c>
      <c r="C105" s="5">
        <f>PRRAS!K123</f>
        <v>1214</v>
      </c>
      <c r="D105" s="8">
        <v>0</v>
      </c>
      <c r="E105" s="8">
        <v>0</v>
      </c>
      <c r="F105" s="7">
        <f t="shared" si="6"/>
        <v>3211.52</v>
      </c>
      <c r="J105" s="8">
        <f t="shared" si="7"/>
        <v>0</v>
      </c>
    </row>
    <row r="106" spans="1:10" ht="12.75">
      <c r="A106" s="5">
        <f>PRRAS!I124</f>
        <v>105</v>
      </c>
      <c r="B106" s="5">
        <f>PRRAS!J124</f>
        <v>160</v>
      </c>
      <c r="C106" s="5">
        <f>PRRAS!K124</f>
        <v>0</v>
      </c>
      <c r="D106" s="8">
        <v>0</v>
      </c>
      <c r="E106" s="8">
        <v>0</v>
      </c>
      <c r="F106" s="7">
        <f t="shared" si="6"/>
        <v>168</v>
      </c>
      <c r="J106" s="8">
        <f t="shared" si="7"/>
        <v>0</v>
      </c>
    </row>
    <row r="107" spans="1:10" ht="12.75">
      <c r="A107" s="5">
        <f>PRRAS!I125</f>
        <v>106</v>
      </c>
      <c r="B107" s="5">
        <f>PRRAS!J125</f>
        <v>0</v>
      </c>
      <c r="C107" s="5">
        <f>PRRAS!K125</f>
        <v>722</v>
      </c>
      <c r="D107" s="8">
        <v>0</v>
      </c>
      <c r="E107" s="8">
        <v>0</v>
      </c>
      <c r="F107" s="7">
        <f t="shared" si="6"/>
        <v>1530.64</v>
      </c>
      <c r="J107" s="8">
        <f t="shared" si="7"/>
        <v>0</v>
      </c>
    </row>
    <row r="108" spans="1:10" ht="12.75">
      <c r="A108" s="5">
        <f>PRRAS!I126</f>
        <v>107</v>
      </c>
      <c r="B108" s="5">
        <f>PRRAS!J126</f>
        <v>15547</v>
      </c>
      <c r="C108" s="5">
        <f>PRRAS!K126</f>
        <v>3529</v>
      </c>
      <c r="D108" s="8">
        <v>0</v>
      </c>
      <c r="E108" s="8">
        <v>0</v>
      </c>
      <c r="F108" s="7">
        <f t="shared" si="6"/>
        <v>24187.350000000002</v>
      </c>
      <c r="J108" s="8">
        <f t="shared" si="7"/>
        <v>0</v>
      </c>
    </row>
    <row r="109" spans="1:10" ht="12.75">
      <c r="A109" s="5">
        <f>PRRAS!I127</f>
        <v>108</v>
      </c>
      <c r="B109" s="5">
        <f>PRRAS!J127</f>
        <v>58288</v>
      </c>
      <c r="C109" s="5">
        <f>PRRAS!K127</f>
        <v>54759</v>
      </c>
      <c r="D109" s="8">
        <v>0</v>
      </c>
      <c r="E109" s="8">
        <v>0</v>
      </c>
      <c r="F109" s="7">
        <f t="shared" si="6"/>
        <v>181230.48</v>
      </c>
      <c r="J109" s="8">
        <f t="shared" si="7"/>
        <v>0</v>
      </c>
    </row>
    <row r="110" spans="1:10" ht="12.75">
      <c r="A110" s="5">
        <f>PRRAS!I128</f>
        <v>109</v>
      </c>
      <c r="B110" s="5">
        <f>PRRAS!J128</f>
        <v>10035</v>
      </c>
      <c r="C110" s="5">
        <f>PRRAS!K128</f>
        <v>9433</v>
      </c>
      <c r="D110" s="8">
        <v>0</v>
      </c>
      <c r="E110" s="8">
        <v>0</v>
      </c>
      <c r="F110" s="7">
        <f t="shared" si="6"/>
        <v>31502.090000000004</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4632</v>
      </c>
      <c r="C112" s="5">
        <f>PRRAS!K130</f>
        <v>2787</v>
      </c>
      <c r="D112" s="8">
        <v>0</v>
      </c>
      <c r="E112" s="8">
        <v>0</v>
      </c>
      <c r="F112" s="7">
        <f t="shared" si="6"/>
        <v>11328.66</v>
      </c>
      <c r="J112" s="8">
        <f t="shared" si="7"/>
        <v>0</v>
      </c>
    </row>
    <row r="113" spans="1:10" ht="12.75">
      <c r="A113" s="5">
        <f>PRRAS!I131</f>
        <v>112</v>
      </c>
      <c r="B113" s="5">
        <f>PRRAS!J131</f>
        <v>4632</v>
      </c>
      <c r="C113" s="5">
        <f>PRRAS!K131</f>
        <v>2787</v>
      </c>
      <c r="D113" s="8">
        <v>0</v>
      </c>
      <c r="E113" s="8">
        <v>0</v>
      </c>
      <c r="F113" s="7">
        <f t="shared" si="6"/>
        <v>11430.720000000001</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5403</v>
      </c>
      <c r="C116" s="5">
        <f>PRRAS!K134</f>
        <v>6646</v>
      </c>
      <c r="D116" s="8">
        <v>0</v>
      </c>
      <c r="E116" s="8">
        <v>0</v>
      </c>
      <c r="F116" s="7">
        <f t="shared" si="6"/>
        <v>21499.25</v>
      </c>
      <c r="J116" s="8">
        <f t="shared" si="7"/>
        <v>0</v>
      </c>
    </row>
    <row r="117" spans="1:10" ht="12.75">
      <c r="A117" s="5">
        <f>PRRAS!I135</f>
        <v>116</v>
      </c>
      <c r="B117" s="5">
        <f>PRRAS!J135</f>
        <v>4482</v>
      </c>
      <c r="C117" s="5">
        <f>PRRAS!K135</f>
        <v>5712</v>
      </c>
      <c r="D117" s="8">
        <v>0</v>
      </c>
      <c r="E117" s="8">
        <v>0</v>
      </c>
      <c r="F117" s="7">
        <f t="shared" si="6"/>
        <v>18450.96</v>
      </c>
      <c r="J117" s="8">
        <f t="shared" si="7"/>
        <v>0</v>
      </c>
    </row>
    <row r="118" spans="1:10" ht="12.75">
      <c r="A118" s="5">
        <f>PRRAS!I136</f>
        <v>117</v>
      </c>
      <c r="B118" s="5">
        <f>PRRAS!J136</f>
        <v>921</v>
      </c>
      <c r="C118" s="5">
        <f>PRRAS!K136</f>
        <v>908</v>
      </c>
      <c r="D118" s="8">
        <v>0</v>
      </c>
      <c r="E118" s="8">
        <v>0</v>
      </c>
      <c r="F118" s="7">
        <f t="shared" si="6"/>
        <v>3202.29</v>
      </c>
      <c r="J118" s="8">
        <f t="shared" si="7"/>
        <v>0</v>
      </c>
    </row>
    <row r="119" spans="1:10" ht="12.75">
      <c r="A119" s="5">
        <f>PRRAS!I137</f>
        <v>118</v>
      </c>
      <c r="B119" s="5">
        <f>PRRAS!J137</f>
        <v>0</v>
      </c>
      <c r="C119" s="5">
        <f>PRRAS!K137</f>
        <v>1</v>
      </c>
      <c r="D119" s="8">
        <v>0</v>
      </c>
      <c r="E119" s="8">
        <v>0</v>
      </c>
      <c r="F119" s="7">
        <f t="shared" si="6"/>
        <v>2.36</v>
      </c>
      <c r="J119" s="8">
        <f t="shared" si="7"/>
        <v>0</v>
      </c>
    </row>
    <row r="120" spans="1:10" ht="12.75">
      <c r="A120" s="5">
        <f>PRRAS!I138</f>
        <v>119</v>
      </c>
      <c r="B120" s="5">
        <f>PRRAS!J138</f>
        <v>0</v>
      </c>
      <c r="C120" s="5">
        <f>PRRAS!K138</f>
        <v>25</v>
      </c>
      <c r="D120" s="8">
        <v>0</v>
      </c>
      <c r="E120" s="8">
        <v>0</v>
      </c>
      <c r="F120" s="7">
        <f t="shared" si="6"/>
        <v>59.5</v>
      </c>
      <c r="J120" s="8">
        <f t="shared" si="7"/>
        <v>0</v>
      </c>
    </row>
    <row r="121" spans="1:10" ht="12.75">
      <c r="A121" s="5">
        <f>PRRAS!I139</f>
        <v>120</v>
      </c>
      <c r="B121" s="5">
        <f>PRRAS!J139</f>
        <v>10000</v>
      </c>
      <c r="C121" s="5">
        <f>PRRAS!K139</f>
        <v>129253</v>
      </c>
      <c r="D121" s="8">
        <v>0</v>
      </c>
      <c r="E121" s="8">
        <v>0</v>
      </c>
      <c r="F121" s="7">
        <f t="shared" si="6"/>
        <v>322207.2</v>
      </c>
      <c r="J121" s="8">
        <f t="shared" si="7"/>
        <v>0</v>
      </c>
    </row>
    <row r="122" spans="1:10" ht="12.75">
      <c r="A122" s="5">
        <f>PRRAS!I140</f>
        <v>121</v>
      </c>
      <c r="B122" s="5">
        <f>PRRAS!J140</f>
        <v>10000</v>
      </c>
      <c r="C122" s="5">
        <f>PRRAS!K140</f>
        <v>129253</v>
      </c>
      <c r="D122" s="8">
        <v>0</v>
      </c>
      <c r="E122" s="8">
        <v>0</v>
      </c>
      <c r="F122" s="7">
        <f t="shared" si="6"/>
        <v>324892.26</v>
      </c>
      <c r="J122" s="8">
        <f t="shared" si="7"/>
        <v>0</v>
      </c>
    </row>
    <row r="123" spans="1:10" ht="12.75">
      <c r="A123" s="5">
        <f>PRRAS!I141</f>
        <v>122</v>
      </c>
      <c r="B123" s="5">
        <f>PRRAS!J141</f>
        <v>10000</v>
      </c>
      <c r="C123" s="5">
        <f>PRRAS!K141</f>
        <v>129253</v>
      </c>
      <c r="D123" s="8">
        <v>0</v>
      </c>
      <c r="E123" s="8">
        <v>0</v>
      </c>
      <c r="F123" s="7">
        <f t="shared" si="6"/>
        <v>327577.32</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690</v>
      </c>
      <c r="C129" s="5">
        <f>PRRAS!K147</f>
        <v>0</v>
      </c>
      <c r="D129" s="8">
        <v>0</v>
      </c>
      <c r="E129" s="8">
        <v>0</v>
      </c>
      <c r="F129" s="7">
        <f t="shared" si="6"/>
        <v>883.2</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690</v>
      </c>
      <c r="C135" s="5">
        <f>PRRAS!K153</f>
        <v>0</v>
      </c>
      <c r="D135" s="8">
        <v>0</v>
      </c>
      <c r="E135" s="8">
        <v>0</v>
      </c>
      <c r="F135" s="7">
        <f t="shared" si="8"/>
        <v>924.6</v>
      </c>
      <c r="J135" s="8">
        <f t="shared" si="9"/>
        <v>0</v>
      </c>
    </row>
    <row r="136" spans="1:10" ht="12.75">
      <c r="A136" s="5">
        <f>PRRAS!I154</f>
        <v>135</v>
      </c>
      <c r="B136" s="5">
        <f>PRRAS!J154</f>
        <v>690</v>
      </c>
      <c r="C136" s="5">
        <f>PRRAS!K154</f>
        <v>0</v>
      </c>
      <c r="D136" s="8">
        <v>0</v>
      </c>
      <c r="E136" s="8">
        <v>0</v>
      </c>
      <c r="F136" s="7">
        <f t="shared" si="8"/>
        <v>931.5000000000001</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3107736</v>
      </c>
      <c r="C149" s="5">
        <f>PRRAS!K167</f>
        <v>2136980</v>
      </c>
      <c r="D149" s="8">
        <v>0</v>
      </c>
      <c r="E149" s="8">
        <v>0</v>
      </c>
      <c r="F149" s="7">
        <f t="shared" si="8"/>
        <v>10924910.08</v>
      </c>
      <c r="J149" s="8">
        <f t="shared" si="9"/>
        <v>0</v>
      </c>
    </row>
    <row r="150" spans="1:10" ht="12.75">
      <c r="A150" s="5">
        <f>PRRAS!I168</f>
        <v>149</v>
      </c>
      <c r="B150" s="5">
        <f>PRRAS!J168</f>
        <v>248978</v>
      </c>
      <c r="C150" s="5">
        <f>PRRAS!K168</f>
        <v>17664</v>
      </c>
      <c r="D150" s="8">
        <v>0</v>
      </c>
      <c r="E150" s="8">
        <v>0</v>
      </c>
      <c r="F150" s="7">
        <f t="shared" si="8"/>
        <v>423615.93999999994</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17347</v>
      </c>
      <c r="C152" s="5">
        <f>PRRAS!K170</f>
        <v>140170</v>
      </c>
      <c r="D152" s="8">
        <v>0</v>
      </c>
      <c r="E152" s="8">
        <v>0</v>
      </c>
      <c r="F152" s="7">
        <f t="shared" si="8"/>
        <v>449507.37</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266325</v>
      </c>
      <c r="C155" s="5">
        <f>PRRAS!K173</f>
        <v>157834</v>
      </c>
      <c r="D155" s="8">
        <v>0</v>
      </c>
      <c r="E155" s="8">
        <v>0</v>
      </c>
      <c r="F155" s="7">
        <f t="shared" si="8"/>
        <v>896269.22</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364233</v>
      </c>
      <c r="C157" s="5">
        <f>PRRAS!K176</f>
        <v>252992</v>
      </c>
      <c r="D157" s="8">
        <v>0</v>
      </c>
      <c r="E157" s="8">
        <v>0</v>
      </c>
      <c r="F157" s="7">
        <f t="shared" si="8"/>
        <v>1357538.52</v>
      </c>
    </row>
    <row r="158" spans="1:6" ht="12.75">
      <c r="A158" s="5">
        <f>PRRAS!I177</f>
        <v>157</v>
      </c>
      <c r="B158" s="5">
        <f>PRRAS!J177</f>
        <v>3439111</v>
      </c>
      <c r="C158" s="5">
        <f>PRRAS!K177</f>
        <v>1954754</v>
      </c>
      <c r="D158" s="8">
        <v>0</v>
      </c>
      <c r="E158" s="8">
        <v>0</v>
      </c>
      <c r="F158" s="7">
        <f t="shared" si="8"/>
        <v>11537331.830000002</v>
      </c>
    </row>
    <row r="159" spans="1:6" ht="12.75">
      <c r="A159" s="5">
        <f>PRRAS!I178</f>
        <v>158</v>
      </c>
      <c r="B159" s="5">
        <f>PRRAS!J178</f>
        <v>3550352</v>
      </c>
      <c r="C159" s="5">
        <f>PRRAS!K178</f>
        <v>2050820</v>
      </c>
      <c r="D159" s="8">
        <v>0</v>
      </c>
      <c r="E159" s="8">
        <v>0</v>
      </c>
      <c r="F159" s="7">
        <f t="shared" si="8"/>
        <v>12090147.36</v>
      </c>
    </row>
    <row r="160" spans="1:6" ht="12.75">
      <c r="A160" s="5">
        <f>PRRAS!I179</f>
        <v>159</v>
      </c>
      <c r="B160" s="5">
        <f>PRRAS!J179</f>
        <v>252992</v>
      </c>
      <c r="C160" s="5">
        <f>PRRAS!K179</f>
        <v>156926</v>
      </c>
      <c r="D160" s="8">
        <v>0</v>
      </c>
      <c r="E160" s="8">
        <v>0</v>
      </c>
      <c r="F160" s="7">
        <f t="shared" si="8"/>
        <v>901281.9600000001</v>
      </c>
    </row>
    <row r="161" spans="1:6" ht="12.75">
      <c r="A161" s="5">
        <f>PRRAS!I180</f>
        <v>160</v>
      </c>
      <c r="B161" s="5">
        <f>PRRAS!J180</f>
        <v>30</v>
      </c>
      <c r="C161" s="5">
        <f>PRRAS!K180</f>
        <v>16</v>
      </c>
      <c r="D161" s="8">
        <v>0</v>
      </c>
      <c r="E161" s="8">
        <v>0</v>
      </c>
      <c r="F161" s="7">
        <f t="shared" si="8"/>
        <v>99.2</v>
      </c>
    </row>
    <row r="162" spans="1:6" ht="12.75">
      <c r="A162" s="5">
        <f>PRRAS!I181</f>
        <v>161</v>
      </c>
      <c r="B162" s="5">
        <f>PRRAS!J181</f>
        <v>28</v>
      </c>
      <c r="C162" s="5">
        <f>PRRAS!K181</f>
        <v>12</v>
      </c>
      <c r="D162" s="8">
        <v>0</v>
      </c>
      <c r="E162" s="8">
        <v>0</v>
      </c>
      <c r="F162" s="7">
        <f aca="true" t="shared" si="10" ref="F162:F172">A162/100*B162+A162/50*C162</f>
        <v>83.72</v>
      </c>
    </row>
    <row r="163" spans="1:6" ht="12.75">
      <c r="A163" s="5">
        <f>PRRAS!I182</f>
        <v>162</v>
      </c>
      <c r="B163" s="5">
        <f>PRRAS!J182</f>
        <v>10</v>
      </c>
      <c r="C163" s="5">
        <f>PRRAS!K182</f>
        <v>9</v>
      </c>
      <c r="D163" s="8">
        <v>0</v>
      </c>
      <c r="E163" s="8">
        <v>0</v>
      </c>
      <c r="F163" s="7">
        <f t="shared" si="10"/>
        <v>45.36000000000001</v>
      </c>
    </row>
    <row r="164" spans="1:6" ht="12.75">
      <c r="A164" s="5">
        <f>PRRAS!I183</f>
        <v>163</v>
      </c>
      <c r="B164" s="5">
        <f>PRRAS!J183</f>
        <v>2242</v>
      </c>
      <c r="C164" s="5">
        <f>PRRAS!K183</f>
        <v>1984</v>
      </c>
      <c r="D164" s="8">
        <v>0</v>
      </c>
      <c r="E164" s="8">
        <v>0</v>
      </c>
      <c r="F164" s="7">
        <f t="shared" si="10"/>
        <v>10122.3</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2310</v>
      </c>
      <c r="C172" s="5">
        <f>PRRAS!K194</f>
        <v>2021</v>
      </c>
      <c r="D172" s="8">
        <v>0</v>
      </c>
      <c r="E172" s="8">
        <v>0</v>
      </c>
      <c r="F172" s="7">
        <f t="shared" si="10"/>
        <v>10861.92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716083</v>
      </c>
      <c r="C2" s="5">
        <f>BIL!K19</f>
        <v>446460</v>
      </c>
      <c r="D2" s="8">
        <v>0</v>
      </c>
      <c r="E2" s="8">
        <v>0</v>
      </c>
      <c r="F2" s="7">
        <f aca="true" t="shared" si="0" ref="F2:F65">A2/100*B2+A2/50*C2</f>
        <v>16090.03</v>
      </c>
      <c r="G2" s="9" t="str">
        <f>TRIM(UPPER(RefStr!C13))</f>
        <v>HR6324020061100653723</v>
      </c>
      <c r="H2" s="13">
        <v>0</v>
      </c>
      <c r="I2" s="9" t="s">
        <v>660</v>
      </c>
      <c r="J2" s="8">
        <f aca="true" t="shared" si="1" ref="J2:J65">ABS(B2-ROUND(B2,0))+ABS(C2-ROUND(C2,0))</f>
        <v>0</v>
      </c>
    </row>
    <row r="3" spans="1:10" ht="12.75">
      <c r="A3" s="5">
        <f>BIL!I20</f>
        <v>2</v>
      </c>
      <c r="B3" s="5">
        <f>BIL!J20</f>
        <v>362650</v>
      </c>
      <c r="C3" s="5">
        <f>BIL!K20</f>
        <v>170894</v>
      </c>
      <c r="D3" s="8">
        <v>0</v>
      </c>
      <c r="E3" s="8">
        <v>0</v>
      </c>
      <c r="F3" s="7">
        <f t="shared" si="0"/>
        <v>14088.76</v>
      </c>
      <c r="G3" s="6" t="str">
        <f>TEXT(INT(VALUE(RefStr!J11)),"00000000")</f>
        <v>04008863</v>
      </c>
      <c r="I3" s="9" t="s">
        <v>661</v>
      </c>
      <c r="J3" s="8">
        <f t="shared" si="1"/>
        <v>0</v>
      </c>
    </row>
    <row r="4" spans="1:10" ht="12.75">
      <c r="A4" s="5">
        <f>BIL!I21</f>
        <v>3</v>
      </c>
      <c r="B4" s="5">
        <f>BIL!J21</f>
        <v>1786</v>
      </c>
      <c r="C4" s="5">
        <f>BIL!K21</f>
        <v>0</v>
      </c>
      <c r="D4" s="8">
        <v>0</v>
      </c>
      <c r="E4" s="8">
        <v>0</v>
      </c>
      <c r="F4" s="7">
        <f t="shared" si="0"/>
        <v>53.58</v>
      </c>
      <c r="G4" s="6" t="str">
        <f>IF(ISERROR(RefStr!C7),"-",UPPER(TRIM(RefStr!C7)))</f>
        <v>UDRUGA ŽENE KOSOVSKE DOLINE</v>
      </c>
      <c r="I4" s="9" t="s">
        <v>662</v>
      </c>
      <c r="J4" s="8">
        <f t="shared" si="1"/>
        <v>0</v>
      </c>
    </row>
    <row r="5" spans="1:10" ht="12.75">
      <c r="A5" s="5">
        <f>BIL!I22</f>
        <v>4</v>
      </c>
      <c r="B5" s="5">
        <f>BIL!J22</f>
        <v>0</v>
      </c>
      <c r="C5" s="5">
        <f>BIL!K22</f>
        <v>0</v>
      </c>
      <c r="D5" s="8">
        <v>0</v>
      </c>
      <c r="E5" s="8">
        <v>0</v>
      </c>
      <c r="F5" s="7">
        <f t="shared" si="0"/>
        <v>0</v>
      </c>
      <c r="G5" s="6" t="str">
        <f>TEXT(INT(VALUE(RefStr!C9)),"00000")</f>
        <v>22300</v>
      </c>
      <c r="I5" s="9" t="s">
        <v>663</v>
      </c>
      <c r="J5" s="8">
        <f t="shared" si="1"/>
        <v>0</v>
      </c>
    </row>
    <row r="6" spans="1:10" ht="12.75">
      <c r="A6" s="5">
        <f>BIL!I23</f>
        <v>5</v>
      </c>
      <c r="B6" s="5">
        <f>BIL!J23</f>
        <v>0</v>
      </c>
      <c r="C6" s="5">
        <f>BIL!K23</f>
        <v>0</v>
      </c>
      <c r="D6" s="8">
        <v>0</v>
      </c>
      <c r="E6" s="8">
        <v>0</v>
      </c>
      <c r="F6" s="7">
        <f t="shared" si="0"/>
        <v>0</v>
      </c>
      <c r="G6" s="6" t="str">
        <f>IF(ISERROR(RefStr!E9),"-",UPPER(TRIM(RefStr!E9)))</f>
        <v>RIĐANE, 22300 KNIN</v>
      </c>
      <c r="I6" s="9" t="s">
        <v>664</v>
      </c>
      <c r="J6" s="8">
        <f t="shared" si="1"/>
        <v>0</v>
      </c>
    </row>
    <row r="7" spans="1:10" ht="12.75">
      <c r="A7" s="5">
        <f>BIL!I24</f>
        <v>6</v>
      </c>
      <c r="B7" s="5">
        <f>BIL!J24</f>
        <v>0</v>
      </c>
      <c r="C7" s="5">
        <f>BIL!K24</f>
        <v>0</v>
      </c>
      <c r="D7" s="8">
        <v>0</v>
      </c>
      <c r="E7" s="8">
        <v>0</v>
      </c>
      <c r="F7" s="7">
        <f t="shared" si="0"/>
        <v>0</v>
      </c>
      <c r="G7" s="6" t="str">
        <f>IF(ISERROR(RefStr!C11),"-",(TRIM(RefStr!C11)))</f>
        <v>RIĐANE CENTAR 84</v>
      </c>
      <c r="I7" s="9" t="s">
        <v>665</v>
      </c>
      <c r="J7" s="8">
        <f t="shared" si="1"/>
        <v>0</v>
      </c>
    </row>
    <row r="8" spans="1:10" ht="12.75">
      <c r="A8" s="5">
        <f>BIL!I25</f>
        <v>7</v>
      </c>
      <c r="B8" s="5">
        <f>BIL!J25</f>
        <v>0</v>
      </c>
      <c r="C8" s="5">
        <f>BIL!K25</f>
        <v>0</v>
      </c>
      <c r="D8" s="8">
        <v>0</v>
      </c>
      <c r="E8" s="8">
        <v>0</v>
      </c>
      <c r="F8" s="7">
        <f t="shared" si="0"/>
        <v>0</v>
      </c>
      <c r="G8" s="6" t="str">
        <f>TEXT(INT(VALUE(RefStr!C15)),"0000")</f>
        <v>9499</v>
      </c>
      <c r="I8" s="9" t="s">
        <v>666</v>
      </c>
      <c r="J8" s="8">
        <f t="shared" si="1"/>
        <v>0</v>
      </c>
    </row>
    <row r="9" spans="1:10" ht="12.75">
      <c r="A9" s="5">
        <f>BIL!I26</f>
        <v>8</v>
      </c>
      <c r="B9" s="5">
        <f>BIL!J26</f>
        <v>1786</v>
      </c>
      <c r="C9" s="5">
        <f>BIL!K26</f>
        <v>0</v>
      </c>
      <c r="D9" s="8">
        <v>0</v>
      </c>
      <c r="E9" s="8">
        <v>0</v>
      </c>
      <c r="F9" s="7">
        <f t="shared" si="0"/>
        <v>142.88</v>
      </c>
      <c r="G9" s="6" t="str">
        <f>IF(RefStr!J17&lt;&gt;"",TEXT(INT(VALUE(RefStr!J17)),"00"),"00")</f>
        <v>15</v>
      </c>
      <c r="I9" s="9" t="s">
        <v>667</v>
      </c>
      <c r="J9" s="8">
        <f t="shared" si="1"/>
        <v>0</v>
      </c>
    </row>
    <row r="10" spans="1:10" ht="12.75">
      <c r="A10" s="5">
        <f>BIL!I27</f>
        <v>9</v>
      </c>
      <c r="B10" s="5">
        <f>BIL!J27</f>
        <v>0</v>
      </c>
      <c r="C10" s="5">
        <f>BIL!K27</f>
        <v>0</v>
      </c>
      <c r="D10" s="8">
        <v>0</v>
      </c>
      <c r="E10" s="8">
        <v>0</v>
      </c>
      <c r="F10" s="7">
        <f t="shared" si="0"/>
        <v>0</v>
      </c>
      <c r="G10" s="6" t="str">
        <f>TEXT(INT(VALUE(RefStr!C17)),"000")</f>
        <v>196</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1786</v>
      </c>
      <c r="C12" s="5">
        <f>BIL!K29</f>
        <v>0</v>
      </c>
      <c r="D12" s="8">
        <v>0</v>
      </c>
      <c r="E12" s="8">
        <v>0</v>
      </c>
      <c r="F12" s="7">
        <f t="shared" si="0"/>
        <v>196.46</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RADMILA BERIĆ</v>
      </c>
      <c r="I18" s="11" t="s">
        <v>278</v>
      </c>
      <c r="J18" s="8">
        <f t="shared" si="1"/>
        <v>0</v>
      </c>
    </row>
    <row r="19" spans="1:10" ht="12.75">
      <c r="A19" s="5">
        <f>BIL!I36</f>
        <v>18</v>
      </c>
      <c r="B19" s="5">
        <f>BIL!J36</f>
        <v>237025</v>
      </c>
      <c r="C19" s="5">
        <f>BIL!K36</f>
        <v>170894</v>
      </c>
      <c r="D19" s="8">
        <v>0</v>
      </c>
      <c r="E19" s="8">
        <v>0</v>
      </c>
      <c r="F19" s="7">
        <f t="shared" si="0"/>
        <v>104186.34</v>
      </c>
      <c r="I19" s="11" t="s">
        <v>279</v>
      </c>
      <c r="J19" s="8">
        <f t="shared" si="1"/>
        <v>0</v>
      </c>
    </row>
    <row r="20" spans="1:10" ht="12.75">
      <c r="A20" s="5">
        <f>BIL!I37</f>
        <v>19</v>
      </c>
      <c r="B20" s="5">
        <f>BIL!J37</f>
        <v>0</v>
      </c>
      <c r="C20" s="5">
        <f>BIL!K37</f>
        <v>0</v>
      </c>
      <c r="D20" s="8">
        <v>0</v>
      </c>
      <c r="E20" s="8">
        <v>0</v>
      </c>
      <c r="F20" s="7">
        <f t="shared" si="0"/>
        <v>0</v>
      </c>
      <c r="G20" s="6" t="str">
        <f>IF(ISERROR(RefStr!D43),"-",UPPER(TRIM(RefStr!D43)))</f>
        <v>IVANA ĐURETIĆ</v>
      </c>
      <c r="I20" s="9" t="s">
        <v>280</v>
      </c>
      <c r="J20" s="8">
        <f t="shared" si="1"/>
        <v>0</v>
      </c>
    </row>
    <row r="21" spans="1:10" ht="12.75">
      <c r="A21" s="5">
        <f>BIL!I38</f>
        <v>20</v>
      </c>
      <c r="B21" s="5">
        <f>BIL!J38</f>
        <v>0</v>
      </c>
      <c r="C21" s="5">
        <f>BIL!K38</f>
        <v>0</v>
      </c>
      <c r="D21" s="8">
        <v>0</v>
      </c>
      <c r="E21" s="8">
        <v>0</v>
      </c>
      <c r="F21" s="7">
        <f t="shared" si="0"/>
        <v>0</v>
      </c>
      <c r="G21" s="6" t="str">
        <f>IF(ISERROR(RefStr!D45),"-",UPPER(TRIM(RefStr!D45)))</f>
        <v>0915445500</v>
      </c>
      <c r="I21" s="9" t="s">
        <v>281</v>
      </c>
      <c r="J21" s="8">
        <f t="shared" si="1"/>
        <v>0</v>
      </c>
    </row>
    <row r="22" spans="1:10" ht="12.75">
      <c r="A22" s="5">
        <f>BIL!I39</f>
        <v>21</v>
      </c>
      <c r="B22" s="5">
        <f>BIL!J39</f>
        <v>0</v>
      </c>
      <c r="C22" s="5">
        <f>BIL!K39</f>
        <v>0</v>
      </c>
      <c r="D22" s="8">
        <v>0</v>
      </c>
      <c r="E22" s="8">
        <v>0</v>
      </c>
      <c r="F22" s="7">
        <f t="shared" si="0"/>
        <v>0</v>
      </c>
      <c r="G22" s="6" t="str">
        <f>IF(ISERROR(RefStr!D47),"-",UPPER(TRIM(RefStr!D47)))</f>
        <v>-</v>
      </c>
      <c r="I22" s="11" t="s">
        <v>282</v>
      </c>
      <c r="J22" s="8">
        <f t="shared" si="1"/>
        <v>0</v>
      </c>
    </row>
    <row r="23" spans="1:10" ht="12.75">
      <c r="A23" s="5">
        <f>BIL!I40</f>
        <v>22</v>
      </c>
      <c r="B23" s="5">
        <f>BIL!J40</f>
        <v>0</v>
      </c>
      <c r="C23" s="5">
        <f>BIL!K40</f>
        <v>0</v>
      </c>
      <c r="D23" s="8">
        <v>0</v>
      </c>
      <c r="E23" s="8">
        <v>0</v>
      </c>
      <c r="F23" s="7">
        <f t="shared" si="0"/>
        <v>0</v>
      </c>
      <c r="G23" s="6" t="str">
        <f>IF(ISERROR(RefStr!D49),"-",LOWER(TRIM(RefStr!D49)))</f>
        <v>ivana.irissavjetovanje@gmail.com</v>
      </c>
      <c r="I23" s="11" t="s">
        <v>283</v>
      </c>
      <c r="J23" s="8">
        <f t="shared" si="1"/>
        <v>0</v>
      </c>
    </row>
    <row r="24" spans="1:10" ht="12.75">
      <c r="A24" s="5">
        <f>BIL!I41</f>
        <v>23</v>
      </c>
      <c r="B24" s="5">
        <f>BIL!J41</f>
        <v>168372</v>
      </c>
      <c r="C24" s="5">
        <f>BIL!K41</f>
        <v>138420</v>
      </c>
      <c r="D24" s="8">
        <v>0</v>
      </c>
      <c r="E24" s="8">
        <v>0</v>
      </c>
      <c r="F24" s="7">
        <f t="shared" si="0"/>
        <v>102398.76000000001</v>
      </c>
      <c r="I24" s="11" t="s">
        <v>284</v>
      </c>
      <c r="J24" s="8">
        <f t="shared" si="1"/>
        <v>0</v>
      </c>
    </row>
    <row r="25" spans="1:10" ht="12.75">
      <c r="A25" s="5">
        <f>BIL!I42</f>
        <v>24</v>
      </c>
      <c r="B25" s="5">
        <f>BIL!J42</f>
        <v>0</v>
      </c>
      <c r="C25" s="5">
        <f>BIL!K42</f>
        <v>0</v>
      </c>
      <c r="D25" s="8">
        <v>0</v>
      </c>
      <c r="E25" s="8">
        <v>0</v>
      </c>
      <c r="F25" s="7">
        <f t="shared" si="0"/>
        <v>0</v>
      </c>
      <c r="I25" s="11" t="s">
        <v>285</v>
      </c>
      <c r="J25" s="8">
        <f t="shared" si="1"/>
        <v>0</v>
      </c>
    </row>
    <row r="26" spans="1:10" ht="12.75">
      <c r="A26" s="5">
        <f>BIL!I43</f>
        <v>25</v>
      </c>
      <c r="B26" s="5">
        <f>BIL!J43</f>
        <v>32562</v>
      </c>
      <c r="C26" s="5">
        <f>BIL!K43</f>
        <v>22276</v>
      </c>
      <c r="D26" s="8">
        <v>0</v>
      </c>
      <c r="E26" s="8">
        <v>0</v>
      </c>
      <c r="F26" s="7">
        <f t="shared" si="0"/>
        <v>19278.5</v>
      </c>
      <c r="G26" s="6" t="str">
        <f>MID(TRIM(RefStr!J15),1,4)</f>
        <v>2022</v>
      </c>
      <c r="I26" s="9" t="s">
        <v>286</v>
      </c>
      <c r="J26" s="8">
        <f t="shared" si="1"/>
        <v>0</v>
      </c>
    </row>
    <row r="27" spans="1:10" ht="12.75">
      <c r="A27" s="5">
        <f>BIL!I44</f>
        <v>26</v>
      </c>
      <c r="B27" s="5">
        <f>BIL!J44</f>
        <v>177</v>
      </c>
      <c r="C27" s="5">
        <f>BIL!K44</f>
        <v>177</v>
      </c>
      <c r="D27" s="8">
        <v>0</v>
      </c>
      <c r="E27" s="8">
        <v>0</v>
      </c>
      <c r="F27" s="7">
        <f t="shared" si="0"/>
        <v>138.06</v>
      </c>
      <c r="G27" s="234">
        <f>SUM(F2:F374)</f>
        <v>252074451.79</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70588</v>
      </c>
      <c r="C29" s="5">
        <f>BIL!K46</f>
        <v>57556</v>
      </c>
      <c r="D29" s="8">
        <v>0</v>
      </c>
      <c r="E29" s="8">
        <v>0</v>
      </c>
      <c r="F29" s="7">
        <f t="shared" si="0"/>
        <v>51996.00000000001</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65045</v>
      </c>
      <c r="C31" s="5">
        <f>BIL!K48</f>
        <v>58411</v>
      </c>
      <c r="D31" s="8">
        <v>0</v>
      </c>
      <c r="E31" s="8">
        <v>0</v>
      </c>
      <c r="F31" s="7">
        <f t="shared" si="0"/>
        <v>54560.1</v>
      </c>
      <c r="G31" s="6">
        <v>708</v>
      </c>
      <c r="I31" s="9" t="s">
        <v>2840</v>
      </c>
      <c r="J31" s="8">
        <f t="shared" si="1"/>
        <v>0</v>
      </c>
    </row>
    <row r="32" spans="1:10" ht="12.75">
      <c r="A32" s="5">
        <f>BIL!I49</f>
        <v>31</v>
      </c>
      <c r="B32" s="5">
        <f>BIL!J49</f>
        <v>165918</v>
      </c>
      <c r="C32" s="5">
        <f>BIL!K49</f>
        <v>165918</v>
      </c>
      <c r="D32" s="8">
        <v>0</v>
      </c>
      <c r="E32" s="8">
        <v>0</v>
      </c>
      <c r="F32" s="7">
        <f t="shared" si="0"/>
        <v>154303.74</v>
      </c>
      <c r="G32" s="6">
        <v>0</v>
      </c>
      <c r="I32" s="9" t="s">
        <v>2841</v>
      </c>
      <c r="J32" s="8">
        <f t="shared" si="1"/>
        <v>0</v>
      </c>
    </row>
    <row r="33" spans="1:10" ht="12.75">
      <c r="A33" s="5">
        <f>BIL!I50</f>
        <v>32</v>
      </c>
      <c r="B33" s="5">
        <f>BIL!J50</f>
        <v>165918</v>
      </c>
      <c r="C33" s="5">
        <f>BIL!K50</f>
        <v>165918</v>
      </c>
      <c r="D33" s="8">
        <v>0</v>
      </c>
      <c r="E33" s="8">
        <v>0</v>
      </c>
      <c r="F33" s="7">
        <f t="shared" si="0"/>
        <v>159281.28</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79896958112</v>
      </c>
      <c r="I38" s="9" t="s">
        <v>2664</v>
      </c>
      <c r="J38" s="8">
        <f t="shared" si="1"/>
        <v>0</v>
      </c>
    </row>
    <row r="39" spans="1:10" ht="12.75">
      <c r="A39" s="5">
        <f>BIL!I56</f>
        <v>38</v>
      </c>
      <c r="B39" s="5">
        <f>BIL!J56</f>
        <v>0</v>
      </c>
      <c r="C39" s="5">
        <f>BIL!K56</f>
        <v>0</v>
      </c>
      <c r="D39" s="8">
        <v>0</v>
      </c>
      <c r="E39" s="8">
        <v>0</v>
      </c>
      <c r="F39" s="7">
        <f t="shared" si="0"/>
        <v>0</v>
      </c>
      <c r="G39" s="6" t="str">
        <f>TEXT(INT(VALUE(RefStr!J9)),"00000")</f>
        <v>238904</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252074451.79</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97265</v>
      </c>
      <c r="C47" s="5">
        <f>BIL!K64</f>
        <v>133444</v>
      </c>
      <c r="D47" s="8">
        <v>0</v>
      </c>
      <c r="E47" s="8">
        <v>0</v>
      </c>
      <c r="F47" s="7">
        <f t="shared" si="0"/>
        <v>167510.38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109295</v>
      </c>
      <c r="C54" s="5">
        <f>BIL!K71</f>
        <v>131094</v>
      </c>
      <c r="D54" s="8">
        <v>0</v>
      </c>
      <c r="E54" s="8">
        <v>0</v>
      </c>
      <c r="F54" s="7">
        <f t="shared" si="0"/>
        <v>196885.99000000002</v>
      </c>
      <c r="J54" s="8">
        <f t="shared" si="1"/>
        <v>0</v>
      </c>
    </row>
    <row r="55" spans="1:10" ht="12.75">
      <c r="A55" s="5">
        <f>BIL!I72</f>
        <v>54</v>
      </c>
      <c r="B55" s="5">
        <f>BIL!J72</f>
        <v>109295</v>
      </c>
      <c r="C55" s="5">
        <f>BIL!K72</f>
        <v>131094</v>
      </c>
      <c r="D55" s="8">
        <v>0</v>
      </c>
      <c r="E55" s="8">
        <v>0</v>
      </c>
      <c r="F55" s="7">
        <f t="shared" si="0"/>
        <v>200600.82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123839</v>
      </c>
      <c r="C65" s="5">
        <f>BIL!K82</f>
        <v>0</v>
      </c>
      <c r="D65" s="8">
        <v>0</v>
      </c>
      <c r="E65" s="8">
        <v>0</v>
      </c>
      <c r="F65" s="7">
        <f t="shared" si="0"/>
        <v>79256.96</v>
      </c>
      <c r="J65" s="8">
        <f t="shared" si="1"/>
        <v>0</v>
      </c>
    </row>
    <row r="66" spans="1:10" ht="12.75">
      <c r="A66" s="5">
        <f>BIL!I83</f>
        <v>65</v>
      </c>
      <c r="B66" s="5">
        <f>BIL!J83</f>
        <v>123839</v>
      </c>
      <c r="C66" s="5">
        <f>BIL!K83</f>
        <v>0</v>
      </c>
      <c r="D66" s="8">
        <v>0</v>
      </c>
      <c r="E66" s="8">
        <v>0</v>
      </c>
      <c r="F66" s="7">
        <f aca="true" t="shared" si="2" ref="F66:F129">A66/100*B66+A66/50*C66</f>
        <v>80495.35</v>
      </c>
      <c r="J66" s="8">
        <f aca="true" t="shared" si="3" ref="J66:J129">ABS(B66-ROUND(B66,0))+ABS(C66-ROUND(C66,0))</f>
        <v>0</v>
      </c>
    </row>
    <row r="67" spans="1:10" ht="12.75">
      <c r="A67" s="5">
        <f>BIL!I84</f>
        <v>66</v>
      </c>
      <c r="B67" s="5">
        <f>BIL!J84</f>
        <v>123839</v>
      </c>
      <c r="C67" s="5">
        <f>BIL!K84</f>
        <v>0</v>
      </c>
      <c r="D67" s="8">
        <v>0</v>
      </c>
      <c r="E67" s="8">
        <v>0</v>
      </c>
      <c r="F67" s="7">
        <f t="shared" si="2"/>
        <v>81733.74</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353433</v>
      </c>
      <c r="C75" s="5">
        <f>BIL!K92</f>
        <v>275566</v>
      </c>
      <c r="D75" s="8">
        <v>0</v>
      </c>
      <c r="E75" s="8">
        <v>0</v>
      </c>
      <c r="F75" s="7">
        <f t="shared" si="2"/>
        <v>669378.1</v>
      </c>
      <c r="J75" s="8">
        <f t="shared" si="3"/>
        <v>0</v>
      </c>
    </row>
    <row r="76" spans="1:10" ht="12.75">
      <c r="A76" s="5">
        <f>BIL!I93</f>
        <v>75</v>
      </c>
      <c r="B76" s="5">
        <f>BIL!J93</f>
        <v>252992</v>
      </c>
      <c r="C76" s="5">
        <f>BIL!K93</f>
        <v>156926</v>
      </c>
      <c r="D76" s="8">
        <v>0</v>
      </c>
      <c r="E76" s="8">
        <v>0</v>
      </c>
      <c r="F76" s="7">
        <f t="shared" si="2"/>
        <v>425133</v>
      </c>
      <c r="J76" s="8">
        <f t="shared" si="3"/>
        <v>0</v>
      </c>
    </row>
    <row r="77" spans="1:10" ht="12.75">
      <c r="A77" s="5">
        <f>BIL!I94</f>
        <v>76</v>
      </c>
      <c r="B77" s="5">
        <f>BIL!J94</f>
        <v>250675</v>
      </c>
      <c r="C77" s="5">
        <f>BIL!K94</f>
        <v>156197</v>
      </c>
      <c r="D77" s="8">
        <v>0</v>
      </c>
      <c r="E77" s="8">
        <v>0</v>
      </c>
      <c r="F77" s="7">
        <f t="shared" si="2"/>
        <v>427932.44</v>
      </c>
      <c r="J77" s="8">
        <f t="shared" si="3"/>
        <v>0</v>
      </c>
    </row>
    <row r="78" spans="1:10" ht="12.75">
      <c r="A78" s="5">
        <f>BIL!I95</f>
        <v>77</v>
      </c>
      <c r="B78" s="5">
        <f>BIL!J95</f>
        <v>250675</v>
      </c>
      <c r="C78" s="5">
        <f>BIL!K95</f>
        <v>156197</v>
      </c>
      <c r="D78" s="8">
        <v>0</v>
      </c>
      <c r="E78" s="8">
        <v>0</v>
      </c>
      <c r="F78" s="7">
        <f t="shared" si="2"/>
        <v>433563.13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2317</v>
      </c>
      <c r="C82" s="5">
        <f>BIL!K99</f>
        <v>729</v>
      </c>
      <c r="D82" s="8">
        <v>0</v>
      </c>
      <c r="E82" s="8">
        <v>0</v>
      </c>
      <c r="F82" s="7">
        <f t="shared" si="2"/>
        <v>3057.75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3513</v>
      </c>
      <c r="C84" s="5">
        <f>BIL!K101</f>
        <v>4578</v>
      </c>
      <c r="D84" s="8">
        <v>0</v>
      </c>
      <c r="E84" s="8">
        <v>0</v>
      </c>
      <c r="F84" s="7">
        <f t="shared" si="2"/>
        <v>10515.27</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3411</v>
      </c>
      <c r="C88" s="5">
        <f>BIL!K105</f>
        <v>3411</v>
      </c>
      <c r="D88" s="8">
        <v>0</v>
      </c>
      <c r="E88" s="8">
        <v>0</v>
      </c>
      <c r="F88" s="7">
        <f t="shared" si="2"/>
        <v>8902.710000000001</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102</v>
      </c>
      <c r="C90" s="5">
        <f>BIL!K107</f>
        <v>0</v>
      </c>
      <c r="D90" s="8">
        <v>0</v>
      </c>
      <c r="E90" s="8">
        <v>0</v>
      </c>
      <c r="F90" s="7">
        <f t="shared" si="2"/>
        <v>90.78</v>
      </c>
      <c r="J90" s="8">
        <f t="shared" si="3"/>
        <v>0</v>
      </c>
    </row>
    <row r="91" spans="1:10" ht="12.75">
      <c r="A91" s="5">
        <f>BIL!I108</f>
        <v>90</v>
      </c>
      <c r="B91" s="5">
        <f>BIL!J108</f>
        <v>102</v>
      </c>
      <c r="C91" s="5">
        <f>BIL!K108</f>
        <v>0</v>
      </c>
      <c r="D91" s="8">
        <v>0</v>
      </c>
      <c r="E91" s="8">
        <v>0</v>
      </c>
      <c r="F91" s="7">
        <f t="shared" si="2"/>
        <v>91.8</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1167</v>
      </c>
      <c r="D96" s="8">
        <v>0</v>
      </c>
      <c r="E96" s="8">
        <v>0</v>
      </c>
      <c r="F96" s="7">
        <f t="shared" si="2"/>
        <v>2217.2999999999997</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1167</v>
      </c>
      <c r="D99" s="8">
        <v>0</v>
      </c>
      <c r="E99" s="8">
        <v>0</v>
      </c>
      <c r="F99" s="7">
        <f t="shared" si="2"/>
        <v>2287.32</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96928</v>
      </c>
      <c r="C134" s="5">
        <f>BIL!K151</f>
        <v>0</v>
      </c>
      <c r="D134" s="8">
        <v>0</v>
      </c>
      <c r="E134" s="8">
        <v>0</v>
      </c>
      <c r="F134" s="7">
        <f t="shared" si="4"/>
        <v>128914.24</v>
      </c>
      <c r="J134" s="8">
        <f t="shared" si="5"/>
        <v>0</v>
      </c>
    </row>
    <row r="135" spans="1:10" ht="12.75">
      <c r="A135" s="5">
        <f>BIL!I152</f>
        <v>134</v>
      </c>
      <c r="B135" s="5">
        <f>BIL!J152</f>
        <v>96928</v>
      </c>
      <c r="C135" s="5">
        <f>BIL!K152</f>
        <v>0</v>
      </c>
      <c r="D135" s="8">
        <v>0</v>
      </c>
      <c r="E135" s="8">
        <v>0</v>
      </c>
      <c r="F135" s="7">
        <f t="shared" si="4"/>
        <v>129883.52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114062</v>
      </c>
      <c r="D143" s="8">
        <v>0</v>
      </c>
      <c r="E143" s="8">
        <v>0</v>
      </c>
      <c r="F143" s="7">
        <f t="shared" si="4"/>
        <v>323936.07999999996</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114062</v>
      </c>
      <c r="D145" s="8">
        <v>0</v>
      </c>
      <c r="E145" s="8">
        <v>0</v>
      </c>
      <c r="F145" s="7">
        <f t="shared" si="4"/>
        <v>328498.56</v>
      </c>
      <c r="J145" s="8">
        <f t="shared" si="5"/>
        <v>0</v>
      </c>
    </row>
    <row r="146" spans="1:10" ht="12.75">
      <c r="A146" s="5">
        <f>BIL!I164</f>
        <v>145</v>
      </c>
      <c r="B146" s="5">
        <f>BIL!J164</f>
        <v>716083</v>
      </c>
      <c r="C146" s="5">
        <f>BIL!K164</f>
        <v>446460</v>
      </c>
      <c r="D146" s="8">
        <v>0</v>
      </c>
      <c r="E146" s="8">
        <v>0</v>
      </c>
      <c r="F146" s="7">
        <f t="shared" si="4"/>
        <v>2333054.35</v>
      </c>
      <c r="J146" s="8">
        <f t="shared" si="5"/>
        <v>0</v>
      </c>
    </row>
    <row r="147" spans="1:10" ht="12.75">
      <c r="A147" s="5">
        <f>BIL!I165</f>
        <v>146</v>
      </c>
      <c r="B147" s="5">
        <f>BIL!J165</f>
        <v>449759</v>
      </c>
      <c r="C147" s="5">
        <f>BIL!K165</f>
        <v>288626</v>
      </c>
      <c r="D147" s="8">
        <v>0</v>
      </c>
      <c r="E147" s="8">
        <v>0</v>
      </c>
      <c r="F147" s="7">
        <f t="shared" si="4"/>
        <v>1499436.06</v>
      </c>
      <c r="J147" s="8">
        <f t="shared" si="5"/>
        <v>0</v>
      </c>
    </row>
    <row r="148" spans="1:10" ht="12.75">
      <c r="A148" s="5">
        <f>BIL!I166</f>
        <v>147</v>
      </c>
      <c r="B148" s="5">
        <f>BIL!J166</f>
        <v>131630</v>
      </c>
      <c r="C148" s="5">
        <f>BIL!K166</f>
        <v>144774</v>
      </c>
      <c r="D148" s="8">
        <v>0</v>
      </c>
      <c r="E148" s="8">
        <v>0</v>
      </c>
      <c r="F148" s="7">
        <f t="shared" si="4"/>
        <v>619131.66</v>
      </c>
      <c r="J148" s="8">
        <f t="shared" si="5"/>
        <v>0</v>
      </c>
    </row>
    <row r="149" spans="1:10" ht="12.75">
      <c r="A149" s="5">
        <f>BIL!I167</f>
        <v>148</v>
      </c>
      <c r="B149" s="5">
        <f>BIL!J167</f>
        <v>106352</v>
      </c>
      <c r="C149" s="5">
        <f>BIL!K167</f>
        <v>133375</v>
      </c>
      <c r="D149" s="8">
        <v>0</v>
      </c>
      <c r="E149" s="8">
        <v>0</v>
      </c>
      <c r="F149" s="7">
        <f t="shared" si="4"/>
        <v>552190.96</v>
      </c>
      <c r="J149" s="8">
        <f t="shared" si="5"/>
        <v>0</v>
      </c>
    </row>
    <row r="150" spans="1:10" ht="12.75">
      <c r="A150" s="5">
        <f>BIL!I168</f>
        <v>149</v>
      </c>
      <c r="B150" s="5">
        <f>BIL!J168</f>
        <v>70049</v>
      </c>
      <c r="C150" s="5">
        <f>BIL!K168</f>
        <v>87293</v>
      </c>
      <c r="D150" s="8">
        <v>0</v>
      </c>
      <c r="E150" s="8">
        <v>0</v>
      </c>
      <c r="F150" s="7">
        <f t="shared" si="4"/>
        <v>364506.14999999997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2982</v>
      </c>
      <c r="C153" s="5">
        <f>BIL!K171</f>
        <v>4295</v>
      </c>
      <c r="D153" s="8">
        <v>0</v>
      </c>
      <c r="E153" s="8">
        <v>0</v>
      </c>
      <c r="F153" s="7">
        <f t="shared" si="4"/>
        <v>17589.44</v>
      </c>
      <c r="J153" s="8">
        <f t="shared" si="5"/>
        <v>0</v>
      </c>
    </row>
    <row r="154" spans="1:10" ht="12.75">
      <c r="A154" s="5">
        <f>BIL!I172</f>
        <v>153</v>
      </c>
      <c r="B154" s="5">
        <f>BIL!J172</f>
        <v>18258</v>
      </c>
      <c r="C154" s="5">
        <f>BIL!K172</f>
        <v>22897</v>
      </c>
      <c r="D154" s="8">
        <v>0</v>
      </c>
      <c r="E154" s="8">
        <v>0</v>
      </c>
      <c r="F154" s="7">
        <f t="shared" si="4"/>
        <v>97999.56000000001</v>
      </c>
      <c r="J154" s="8">
        <f t="shared" si="5"/>
        <v>0</v>
      </c>
    </row>
    <row r="155" spans="1:10" ht="12.75">
      <c r="A155" s="5">
        <f>BIL!I173</f>
        <v>154</v>
      </c>
      <c r="B155" s="5">
        <f>BIL!J173</f>
        <v>15063</v>
      </c>
      <c r="C155" s="5">
        <f>BIL!K173</f>
        <v>18890</v>
      </c>
      <c r="D155" s="8">
        <v>0</v>
      </c>
      <c r="E155" s="8">
        <v>0</v>
      </c>
      <c r="F155" s="7">
        <f t="shared" si="4"/>
        <v>81378.22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25278</v>
      </c>
      <c r="C157" s="5">
        <f>BIL!K175</f>
        <v>11399</v>
      </c>
      <c r="D157" s="8">
        <v>0</v>
      </c>
      <c r="E157" s="8">
        <v>0</v>
      </c>
      <c r="F157" s="7">
        <f t="shared" si="4"/>
        <v>74998.56</v>
      </c>
      <c r="J157" s="8">
        <f t="shared" si="5"/>
        <v>0</v>
      </c>
    </row>
    <row r="158" spans="1:10" ht="12.75">
      <c r="A158" s="5">
        <f>BIL!I176</f>
        <v>157</v>
      </c>
      <c r="B158" s="5">
        <f>BIL!J176</f>
        <v>4192</v>
      </c>
      <c r="C158" s="5">
        <f>BIL!K176</f>
        <v>5580</v>
      </c>
      <c r="D158" s="8">
        <v>0</v>
      </c>
      <c r="E158" s="8">
        <v>0</v>
      </c>
      <c r="F158" s="7">
        <f t="shared" si="4"/>
        <v>24102.64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1536</v>
      </c>
      <c r="C160" s="5">
        <f>BIL!K178</f>
        <v>1536</v>
      </c>
      <c r="D160" s="8">
        <v>0</v>
      </c>
      <c r="E160" s="8">
        <v>0</v>
      </c>
      <c r="F160" s="7">
        <f t="shared" si="4"/>
        <v>7326.720000000001</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19550</v>
      </c>
      <c r="C162" s="5">
        <f>BIL!K180</f>
        <v>4283</v>
      </c>
      <c r="D162" s="8">
        <v>0</v>
      </c>
      <c r="E162" s="8">
        <v>0</v>
      </c>
      <c r="F162" s="7">
        <f t="shared" si="4"/>
        <v>45266.76</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72288</v>
      </c>
      <c r="C183" s="5">
        <f>BIL!K201</f>
        <v>38323</v>
      </c>
      <c r="D183" s="8">
        <v>0</v>
      </c>
      <c r="E183" s="8">
        <v>0</v>
      </c>
      <c r="F183" s="7">
        <f t="shared" si="4"/>
        <v>271059.88</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72288</v>
      </c>
      <c r="C187" s="5">
        <f>BIL!K205</f>
        <v>38323</v>
      </c>
      <c r="D187" s="8">
        <v>0</v>
      </c>
      <c r="E187" s="8">
        <v>0</v>
      </c>
      <c r="F187" s="7">
        <f t="shared" si="4"/>
        <v>277017.24</v>
      </c>
      <c r="J187" s="8">
        <f t="shared" si="5"/>
        <v>0</v>
      </c>
    </row>
    <row r="188" spans="1:10" ht="12.75">
      <c r="A188" s="5">
        <f>BIL!I206</f>
        <v>187</v>
      </c>
      <c r="B188" s="5">
        <f>BIL!J206</f>
        <v>72288</v>
      </c>
      <c r="C188" s="5">
        <f>BIL!K206</f>
        <v>38323</v>
      </c>
      <c r="D188" s="8">
        <v>0</v>
      </c>
      <c r="E188" s="8">
        <v>0</v>
      </c>
      <c r="F188" s="7">
        <f t="shared" si="4"/>
        <v>278506.58</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245841</v>
      </c>
      <c r="C191" s="5">
        <f>BIL!K209</f>
        <v>105529</v>
      </c>
      <c r="D191" s="8">
        <v>0</v>
      </c>
      <c r="E191" s="8">
        <v>0</v>
      </c>
      <c r="F191" s="7">
        <f t="shared" si="4"/>
        <v>868108.0999999999</v>
      </c>
      <c r="J191" s="8">
        <f t="shared" si="5"/>
        <v>0</v>
      </c>
    </row>
    <row r="192" spans="1:10" ht="12.75">
      <c r="A192" s="5">
        <f>BIL!I210</f>
        <v>191</v>
      </c>
      <c r="B192" s="5">
        <f>BIL!J210</f>
        <v>715</v>
      </c>
      <c r="C192" s="5">
        <f>BIL!K210</f>
        <v>55</v>
      </c>
      <c r="D192" s="8">
        <v>0</v>
      </c>
      <c r="E192" s="8">
        <v>0</v>
      </c>
      <c r="F192" s="7">
        <f t="shared" si="4"/>
        <v>1575.7499999999998</v>
      </c>
      <c r="J192" s="8">
        <f t="shared" si="5"/>
        <v>0</v>
      </c>
    </row>
    <row r="193" spans="1:10" ht="12.75">
      <c r="A193" s="5">
        <f>BIL!I211</f>
        <v>192</v>
      </c>
      <c r="B193" s="5">
        <f>BIL!J211</f>
        <v>245126</v>
      </c>
      <c r="C193" s="5">
        <f>BIL!K211</f>
        <v>105474</v>
      </c>
      <c r="D193" s="8">
        <v>0</v>
      </c>
      <c r="E193" s="8">
        <v>0</v>
      </c>
      <c r="F193" s="7">
        <f t="shared" si="4"/>
        <v>875662.08</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245126</v>
      </c>
      <c r="C195" s="5">
        <f>BIL!K213</f>
        <v>105474</v>
      </c>
      <c r="D195" s="8">
        <v>0</v>
      </c>
      <c r="E195" s="8">
        <v>0</v>
      </c>
      <c r="F195" s="7">
        <f t="shared" si="6"/>
        <v>884783.56</v>
      </c>
      <c r="J195" s="8">
        <f t="shared" si="7"/>
        <v>0</v>
      </c>
    </row>
    <row r="196" spans="1:10" ht="12.75">
      <c r="A196" s="5">
        <f>BIL!I214</f>
        <v>195</v>
      </c>
      <c r="B196" s="5">
        <f>BIL!J214</f>
        <v>266324</v>
      </c>
      <c r="C196" s="5">
        <f>BIL!K214</f>
        <v>157834</v>
      </c>
      <c r="D196" s="8">
        <v>0</v>
      </c>
      <c r="E196" s="8">
        <v>0</v>
      </c>
      <c r="F196" s="7">
        <f t="shared" si="6"/>
        <v>1134884.4</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266324</v>
      </c>
      <c r="C200" s="5">
        <f>BIL!K218</f>
        <v>157834</v>
      </c>
      <c r="D200" s="8">
        <v>0</v>
      </c>
      <c r="E200" s="8">
        <v>0</v>
      </c>
      <c r="F200" s="7">
        <f t="shared" si="6"/>
        <v>1158164.08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400000</v>
      </c>
      <c r="D202" s="8">
        <v>0</v>
      </c>
      <c r="E202" s="8">
        <v>0</v>
      </c>
      <c r="F202" s="7">
        <f t="shared" si="6"/>
        <v>1607999.9999999998</v>
      </c>
      <c r="J202" s="8">
        <f t="shared" si="7"/>
        <v>0</v>
      </c>
    </row>
    <row r="203" spans="1:10" ht="12.75">
      <c r="A203" s="5">
        <f>BIL!I222</f>
        <v>202</v>
      </c>
      <c r="B203" s="5">
        <f>BIL!J222</f>
        <v>0</v>
      </c>
      <c r="C203" s="5">
        <f>BIL!K222</f>
        <v>400000</v>
      </c>
      <c r="D203" s="8">
        <v>0</v>
      </c>
      <c r="E203" s="8">
        <v>0</v>
      </c>
      <c r="F203" s="7">
        <f t="shared" si="6"/>
        <v>1616000</v>
      </c>
      <c r="J203" s="8">
        <f t="shared" si="7"/>
        <v>0</v>
      </c>
    </row>
    <row r="204" spans="1:10" ht="12.75">
      <c r="A204" s="5">
        <f>202+PRRAS!I19</f>
        <v>203</v>
      </c>
      <c r="B204" s="5">
        <f>PRRAS!J19</f>
        <v>3356714</v>
      </c>
      <c r="C204" s="5">
        <f>PRRAS!K19</f>
        <v>2154644</v>
      </c>
      <c r="D204" s="8">
        <v>0</v>
      </c>
      <c r="E204" s="8">
        <v>0</v>
      </c>
      <c r="F204" s="7">
        <f t="shared" si="6"/>
        <v>15561984.059999999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700</v>
      </c>
      <c r="C208" s="5">
        <f>PRRAS!K23</f>
        <v>0</v>
      </c>
      <c r="D208" s="8">
        <v>0</v>
      </c>
      <c r="E208" s="8">
        <v>0</v>
      </c>
      <c r="F208" s="7">
        <f t="shared" si="6"/>
        <v>1449</v>
      </c>
      <c r="J208" s="8">
        <f t="shared" si="7"/>
        <v>0</v>
      </c>
    </row>
    <row r="209" spans="1:10" ht="12.75">
      <c r="A209" s="5">
        <f>202+PRRAS!I24</f>
        <v>208</v>
      </c>
      <c r="B209" s="5">
        <f>PRRAS!J24</f>
        <v>700</v>
      </c>
      <c r="C209" s="5">
        <f>PRRAS!K24</f>
        <v>0</v>
      </c>
      <c r="D209" s="8">
        <v>0</v>
      </c>
      <c r="E209" s="8">
        <v>0</v>
      </c>
      <c r="F209" s="7">
        <f t="shared" si="6"/>
        <v>1456</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31</v>
      </c>
      <c r="C214" s="5">
        <f>PRRAS!K29</f>
        <v>61</v>
      </c>
      <c r="D214" s="8">
        <v>0</v>
      </c>
      <c r="E214" s="8">
        <v>0</v>
      </c>
      <c r="F214" s="7">
        <f t="shared" si="6"/>
        <v>325.89</v>
      </c>
      <c r="J214" s="8">
        <f t="shared" si="7"/>
        <v>0</v>
      </c>
    </row>
    <row r="215" spans="1:10" ht="12.75">
      <c r="A215" s="5">
        <f>202+PRRAS!I30</f>
        <v>214</v>
      </c>
      <c r="B215" s="5">
        <f>PRRAS!J30</f>
        <v>31</v>
      </c>
      <c r="C215" s="5">
        <f>PRRAS!K30</f>
        <v>61</v>
      </c>
      <c r="D215" s="8">
        <v>0</v>
      </c>
      <c r="E215" s="8">
        <v>0</v>
      </c>
      <c r="F215" s="7">
        <f t="shared" si="6"/>
        <v>327.4200000000001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3</v>
      </c>
      <c r="C218" s="5">
        <f>PRRAS!K33</f>
        <v>1</v>
      </c>
      <c r="D218" s="8">
        <v>0</v>
      </c>
      <c r="E218" s="8">
        <v>0</v>
      </c>
      <c r="F218" s="7">
        <f t="shared" si="6"/>
        <v>10.85</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28</v>
      </c>
      <c r="C220" s="5">
        <f>PRRAS!K35</f>
        <v>60</v>
      </c>
      <c r="D220" s="8">
        <v>0</v>
      </c>
      <c r="E220" s="8">
        <v>0</v>
      </c>
      <c r="F220" s="7">
        <f t="shared" si="6"/>
        <v>324.12</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3355983</v>
      </c>
      <c r="C227" s="5">
        <f>PRRAS!K42</f>
        <v>2154583</v>
      </c>
      <c r="D227" s="8">
        <v>0</v>
      </c>
      <c r="E227" s="8">
        <v>0</v>
      </c>
      <c r="F227" s="7">
        <f t="shared" si="6"/>
        <v>17323236.74</v>
      </c>
      <c r="J227" s="8">
        <f t="shared" si="7"/>
        <v>0</v>
      </c>
    </row>
    <row r="228" spans="1:10" ht="12.75">
      <c r="A228" s="5">
        <f>202+PRRAS!I43</f>
        <v>227</v>
      </c>
      <c r="B228" s="5">
        <f>PRRAS!J43</f>
        <v>2934813</v>
      </c>
      <c r="C228" s="5">
        <f>PRRAS!K43</f>
        <v>1871567</v>
      </c>
      <c r="D228" s="8">
        <v>0</v>
      </c>
      <c r="E228" s="8">
        <v>0</v>
      </c>
      <c r="F228" s="7">
        <f t="shared" si="6"/>
        <v>15158939.69</v>
      </c>
      <c r="J228" s="8">
        <f t="shared" si="7"/>
        <v>0</v>
      </c>
    </row>
    <row r="229" spans="1:10" ht="12.75">
      <c r="A229" s="5">
        <f>202+PRRAS!I44</f>
        <v>228</v>
      </c>
      <c r="B229" s="5">
        <f>PRRAS!J44</f>
        <v>2380236</v>
      </c>
      <c r="C229" s="5">
        <f>PRRAS!K44</f>
        <v>1398327</v>
      </c>
      <c r="D229" s="8">
        <v>0</v>
      </c>
      <c r="E229" s="8">
        <v>0</v>
      </c>
      <c r="F229" s="7">
        <f t="shared" si="6"/>
        <v>11803309.2</v>
      </c>
      <c r="J229" s="8">
        <f t="shared" si="7"/>
        <v>0</v>
      </c>
    </row>
    <row r="230" spans="1:10" ht="12.75">
      <c r="A230" s="5">
        <f>202+PRRAS!I45</f>
        <v>229</v>
      </c>
      <c r="B230" s="5">
        <f>PRRAS!J45</f>
        <v>16426</v>
      </c>
      <c r="C230" s="5">
        <f>PRRAS!K45</f>
        <v>25320</v>
      </c>
      <c r="D230" s="8">
        <v>0</v>
      </c>
      <c r="E230" s="8">
        <v>0</v>
      </c>
      <c r="F230" s="7">
        <f t="shared" si="6"/>
        <v>153581.14</v>
      </c>
      <c r="J230" s="8">
        <f t="shared" si="7"/>
        <v>0</v>
      </c>
    </row>
    <row r="231" spans="1:10" ht="12.75">
      <c r="A231" s="5">
        <f>202+PRRAS!I46</f>
        <v>230</v>
      </c>
      <c r="B231" s="5">
        <f>PRRAS!J46</f>
        <v>538151</v>
      </c>
      <c r="C231" s="5">
        <f>PRRAS!K46</f>
        <v>447920</v>
      </c>
      <c r="D231" s="8">
        <v>0</v>
      </c>
      <c r="E231" s="8">
        <v>0</v>
      </c>
      <c r="F231" s="7">
        <f t="shared" si="6"/>
        <v>3298179.3</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153206</v>
      </c>
      <c r="C233" s="5">
        <f>PRRAS!K48</f>
        <v>135339</v>
      </c>
      <c r="D233" s="8">
        <v>0</v>
      </c>
      <c r="E233" s="8">
        <v>0</v>
      </c>
      <c r="F233" s="7">
        <f t="shared" si="6"/>
        <v>983410.8799999999</v>
      </c>
      <c r="J233" s="8">
        <f t="shared" si="7"/>
        <v>0</v>
      </c>
    </row>
    <row r="234" spans="1:10" ht="12.75">
      <c r="A234" s="5">
        <f>202+PRRAS!I49</f>
        <v>233</v>
      </c>
      <c r="B234" s="5">
        <f>PRRAS!J49</f>
        <v>153206</v>
      </c>
      <c r="C234" s="5">
        <f>PRRAS!K49</f>
        <v>135339</v>
      </c>
      <c r="D234" s="8">
        <v>0</v>
      </c>
      <c r="E234" s="8">
        <v>0</v>
      </c>
      <c r="F234" s="7">
        <f t="shared" si="6"/>
        <v>987649.72</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189008</v>
      </c>
      <c r="C236" s="5">
        <f>PRRAS!K51</f>
        <v>4917</v>
      </c>
      <c r="D236" s="8">
        <v>0</v>
      </c>
      <c r="E236" s="8">
        <v>0</v>
      </c>
      <c r="F236" s="7">
        <f t="shared" si="6"/>
        <v>467278.7</v>
      </c>
      <c r="J236" s="8">
        <f t="shared" si="7"/>
        <v>0</v>
      </c>
    </row>
    <row r="237" spans="1:10" ht="12.75">
      <c r="A237" s="5">
        <f>202+PRRAS!I52</f>
        <v>236</v>
      </c>
      <c r="B237" s="5">
        <f>PRRAS!J52</f>
        <v>0</v>
      </c>
      <c r="C237" s="5">
        <f>PRRAS!K52</f>
        <v>4917</v>
      </c>
      <c r="D237" s="8">
        <v>0</v>
      </c>
      <c r="E237" s="8">
        <v>0</v>
      </c>
      <c r="F237" s="7">
        <f t="shared" si="6"/>
        <v>23208.239999999998</v>
      </c>
      <c r="J237" s="8">
        <f t="shared" si="7"/>
        <v>0</v>
      </c>
    </row>
    <row r="238" spans="1:10" ht="12.75">
      <c r="A238" s="5">
        <f>202+PRRAS!I53</f>
        <v>237</v>
      </c>
      <c r="B238" s="5">
        <f>PRRAS!J53</f>
        <v>189008</v>
      </c>
      <c r="C238" s="5">
        <f>PRRAS!K53</f>
        <v>0</v>
      </c>
      <c r="D238" s="8">
        <v>0</v>
      </c>
      <c r="E238" s="8">
        <v>0</v>
      </c>
      <c r="F238" s="7">
        <f t="shared" si="6"/>
        <v>447948.96</v>
      </c>
      <c r="J238" s="8">
        <f t="shared" si="7"/>
        <v>0</v>
      </c>
    </row>
    <row r="239" spans="1:10" ht="12.75">
      <c r="A239" s="5">
        <f>202+PRRAS!I54</f>
        <v>238</v>
      </c>
      <c r="B239" s="5">
        <f>PRRAS!J54</f>
        <v>78956</v>
      </c>
      <c r="C239" s="5">
        <f>PRRAS!K54</f>
        <v>142760</v>
      </c>
      <c r="D239" s="8">
        <v>0</v>
      </c>
      <c r="E239" s="8">
        <v>0</v>
      </c>
      <c r="F239" s="7">
        <f t="shared" si="6"/>
        <v>867452.88</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3107736</v>
      </c>
      <c r="C257" s="5">
        <f>PRRAS!K73</f>
        <v>2136980</v>
      </c>
      <c r="D257" s="8">
        <v>0</v>
      </c>
      <c r="E257" s="8">
        <v>0</v>
      </c>
      <c r="F257" s="7">
        <f t="shared" si="6"/>
        <v>18897141.759999998</v>
      </c>
      <c r="J257" s="8">
        <f t="shared" si="7"/>
        <v>0</v>
      </c>
    </row>
    <row r="258" spans="1:10" ht="12.75">
      <c r="A258" s="5">
        <f>202+PRRAS!I74</f>
        <v>257</v>
      </c>
      <c r="B258" s="5">
        <f>PRRAS!J74</f>
        <v>2373792</v>
      </c>
      <c r="C258" s="5">
        <f>PRRAS!K74</f>
        <v>1449968</v>
      </c>
      <c r="D258" s="8">
        <v>0</v>
      </c>
      <c r="E258" s="8">
        <v>0</v>
      </c>
      <c r="F258" s="7">
        <f aca="true" t="shared" si="8" ref="F258:F321">A258/100*B258+A258/50*C258</f>
        <v>13553480.959999999</v>
      </c>
      <c r="J258" s="8">
        <f aca="true" t="shared" si="9" ref="J258:J321">ABS(B258-ROUND(B258,0))+ABS(C258-ROUND(C258,0))</f>
        <v>0</v>
      </c>
    </row>
    <row r="259" spans="1:10" ht="12.75">
      <c r="A259" s="5">
        <f>202+PRRAS!I75</f>
        <v>258</v>
      </c>
      <c r="B259" s="5">
        <f>PRRAS!J75</f>
        <v>1934328</v>
      </c>
      <c r="C259" s="5">
        <f>PRRAS!K75</f>
        <v>1231732</v>
      </c>
      <c r="D259" s="8">
        <v>0</v>
      </c>
      <c r="E259" s="8">
        <v>0</v>
      </c>
      <c r="F259" s="7">
        <f t="shared" si="8"/>
        <v>11346303.36</v>
      </c>
      <c r="J259" s="8">
        <f t="shared" si="9"/>
        <v>0</v>
      </c>
    </row>
    <row r="260" spans="1:10" ht="12.75">
      <c r="A260" s="5">
        <f>202+PRRAS!I76</f>
        <v>259</v>
      </c>
      <c r="B260" s="5">
        <f>PRRAS!J76</f>
        <v>1934328</v>
      </c>
      <c r="C260" s="5">
        <f>PRRAS!K76</f>
        <v>1231732</v>
      </c>
      <c r="D260" s="8">
        <v>0</v>
      </c>
      <c r="E260" s="8">
        <v>0</v>
      </c>
      <c r="F260" s="7">
        <f t="shared" si="8"/>
        <v>11390281.28</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120300</v>
      </c>
      <c r="C264" s="5">
        <f>PRRAS!K80</f>
        <v>15000</v>
      </c>
      <c r="D264" s="8">
        <v>0</v>
      </c>
      <c r="E264" s="8">
        <v>0</v>
      </c>
      <c r="F264" s="7">
        <f t="shared" si="8"/>
        <v>395289</v>
      </c>
      <c r="J264" s="8">
        <f t="shared" si="9"/>
        <v>0</v>
      </c>
    </row>
    <row r="265" spans="1:10" ht="12.75">
      <c r="A265" s="5">
        <f>202+PRRAS!I81</f>
        <v>264</v>
      </c>
      <c r="B265" s="5">
        <f>PRRAS!J81</f>
        <v>319164</v>
      </c>
      <c r="C265" s="5">
        <f>PRRAS!K81</f>
        <v>203236</v>
      </c>
      <c r="D265" s="8">
        <v>0</v>
      </c>
      <c r="E265" s="8">
        <v>0</v>
      </c>
      <c r="F265" s="7">
        <f t="shared" si="8"/>
        <v>1915679.04</v>
      </c>
      <c r="J265" s="8">
        <f t="shared" si="9"/>
        <v>0</v>
      </c>
    </row>
    <row r="266" spans="1:10" ht="12.75">
      <c r="A266" s="5">
        <f>202+PRRAS!I82</f>
        <v>265</v>
      </c>
      <c r="B266" s="5">
        <f>PRRAS!J82</f>
        <v>319164</v>
      </c>
      <c r="C266" s="5">
        <f>PRRAS!K82</f>
        <v>203236</v>
      </c>
      <c r="D266" s="8">
        <v>0</v>
      </c>
      <c r="E266" s="8">
        <v>0</v>
      </c>
      <c r="F266" s="7">
        <f t="shared" si="8"/>
        <v>1922935.4</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654931</v>
      </c>
      <c r="C270" s="5">
        <f>PRRAS!K86</f>
        <v>493567</v>
      </c>
      <c r="D270" s="8">
        <v>0</v>
      </c>
      <c r="E270" s="8">
        <v>0</v>
      </c>
      <c r="F270" s="7">
        <f t="shared" si="8"/>
        <v>4417154.85</v>
      </c>
      <c r="J270" s="8">
        <f t="shared" si="9"/>
        <v>0</v>
      </c>
    </row>
    <row r="271" spans="1:10" ht="12.75">
      <c r="A271" s="5">
        <f>202+PRRAS!I87</f>
        <v>270</v>
      </c>
      <c r="B271" s="5">
        <f>PRRAS!J87</f>
        <v>76283</v>
      </c>
      <c r="C271" s="5">
        <f>PRRAS!K87</f>
        <v>80796</v>
      </c>
      <c r="D271" s="8">
        <v>0</v>
      </c>
      <c r="E271" s="8">
        <v>0</v>
      </c>
      <c r="F271" s="7">
        <f t="shared" si="8"/>
        <v>642262.5</v>
      </c>
      <c r="J271" s="8">
        <f t="shared" si="9"/>
        <v>0</v>
      </c>
    </row>
    <row r="272" spans="1:10" ht="12.75">
      <c r="A272" s="5">
        <f>202+PRRAS!I88</f>
        <v>271</v>
      </c>
      <c r="B272" s="5">
        <f>PRRAS!J88</f>
        <v>8188</v>
      </c>
      <c r="C272" s="5">
        <f>PRRAS!K88</f>
        <v>11934</v>
      </c>
      <c r="D272" s="8">
        <v>0</v>
      </c>
      <c r="E272" s="8">
        <v>0</v>
      </c>
      <c r="F272" s="7">
        <f t="shared" si="8"/>
        <v>86871.76</v>
      </c>
      <c r="J272" s="8">
        <f t="shared" si="9"/>
        <v>0</v>
      </c>
    </row>
    <row r="273" spans="1:10" ht="12.75">
      <c r="A273" s="5">
        <f>202+PRRAS!I89</f>
        <v>272</v>
      </c>
      <c r="B273" s="5">
        <f>PRRAS!J89</f>
        <v>68095</v>
      </c>
      <c r="C273" s="5">
        <f>PRRAS!K89</f>
        <v>61956</v>
      </c>
      <c r="D273" s="8">
        <v>0</v>
      </c>
      <c r="E273" s="8">
        <v>0</v>
      </c>
      <c r="F273" s="7">
        <f t="shared" si="8"/>
        <v>522259.04000000004</v>
      </c>
      <c r="J273" s="8">
        <f t="shared" si="9"/>
        <v>0</v>
      </c>
    </row>
    <row r="274" spans="1:10" ht="12.75">
      <c r="A274" s="5">
        <f>202+PRRAS!I90</f>
        <v>273</v>
      </c>
      <c r="B274" s="5">
        <f>PRRAS!J90</f>
        <v>0</v>
      </c>
      <c r="C274" s="5">
        <f>PRRAS!K90</f>
        <v>6906</v>
      </c>
      <c r="D274" s="8">
        <v>0</v>
      </c>
      <c r="E274" s="8">
        <v>0</v>
      </c>
      <c r="F274" s="7">
        <f t="shared" si="8"/>
        <v>37706.76</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138630</v>
      </c>
      <c r="C280" s="5">
        <f>PRRAS!K96</f>
        <v>24432</v>
      </c>
      <c r="D280" s="8">
        <v>0</v>
      </c>
      <c r="E280" s="8">
        <v>0</v>
      </c>
      <c r="F280" s="7">
        <f t="shared" si="8"/>
        <v>523108.26</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63630</v>
      </c>
      <c r="C282" s="5">
        <f>PRRAS!K98</f>
        <v>24432</v>
      </c>
      <c r="D282" s="8">
        <v>0</v>
      </c>
      <c r="E282" s="8">
        <v>0</v>
      </c>
      <c r="F282" s="7">
        <f t="shared" si="8"/>
        <v>316108.14</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75000</v>
      </c>
      <c r="C284" s="5">
        <f>PRRAS!K100</f>
        <v>0</v>
      </c>
      <c r="D284" s="8">
        <v>0</v>
      </c>
      <c r="E284" s="8">
        <v>0</v>
      </c>
      <c r="F284" s="7">
        <f t="shared" si="8"/>
        <v>212250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116067</v>
      </c>
      <c r="C290" s="5">
        <f>PRRAS!K106</f>
        <v>117466</v>
      </c>
      <c r="D290" s="8">
        <v>0</v>
      </c>
      <c r="E290" s="8">
        <v>0</v>
      </c>
      <c r="F290" s="7">
        <f t="shared" si="8"/>
        <v>1014387.11</v>
      </c>
      <c r="J290" s="8">
        <f t="shared" si="9"/>
        <v>0</v>
      </c>
    </row>
    <row r="291" spans="1:10" ht="12.75">
      <c r="A291" s="5">
        <f>202+PRRAS!I107</f>
        <v>290</v>
      </c>
      <c r="B291" s="5">
        <f>PRRAS!J107</f>
        <v>18030</v>
      </c>
      <c r="C291" s="5">
        <f>PRRAS!K107</f>
        <v>16206</v>
      </c>
      <c r="D291" s="8">
        <v>0</v>
      </c>
      <c r="E291" s="8">
        <v>0</v>
      </c>
      <c r="F291" s="7">
        <f t="shared" si="8"/>
        <v>146281.8</v>
      </c>
      <c r="J291" s="8">
        <f t="shared" si="9"/>
        <v>0</v>
      </c>
    </row>
    <row r="292" spans="1:10" ht="12.75">
      <c r="A292" s="5">
        <f>202+PRRAS!I108</f>
        <v>291</v>
      </c>
      <c r="B292" s="5">
        <f>PRRAS!J108</f>
        <v>2500</v>
      </c>
      <c r="C292" s="5">
        <f>PRRAS!K108</f>
        <v>4253</v>
      </c>
      <c r="D292" s="8">
        <v>0</v>
      </c>
      <c r="E292" s="8">
        <v>0</v>
      </c>
      <c r="F292" s="7">
        <f t="shared" si="8"/>
        <v>32027.460000000003</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1432</v>
      </c>
      <c r="C294" s="5">
        <f>PRRAS!K110</f>
        <v>1432</v>
      </c>
      <c r="D294" s="8">
        <v>0</v>
      </c>
      <c r="E294" s="8">
        <v>0</v>
      </c>
      <c r="F294" s="7">
        <f t="shared" si="8"/>
        <v>12587.28</v>
      </c>
      <c r="J294" s="8">
        <f t="shared" si="9"/>
        <v>0</v>
      </c>
    </row>
    <row r="295" spans="1:10" ht="12.75">
      <c r="A295" s="5">
        <f>202+PRRAS!I111</f>
        <v>294</v>
      </c>
      <c r="B295" s="5">
        <f>PRRAS!J111</f>
        <v>0</v>
      </c>
      <c r="C295" s="5">
        <f>PRRAS!K111</f>
        <v>775</v>
      </c>
      <c r="D295" s="8">
        <v>0</v>
      </c>
      <c r="E295" s="8">
        <v>0</v>
      </c>
      <c r="F295" s="7">
        <f t="shared" si="8"/>
        <v>4557</v>
      </c>
      <c r="J295" s="8">
        <f t="shared" si="9"/>
        <v>0</v>
      </c>
    </row>
    <row r="296" spans="1:10" ht="12.75">
      <c r="A296" s="5">
        <f>202+PRRAS!I112</f>
        <v>295</v>
      </c>
      <c r="B296" s="5">
        <f>PRRAS!J112</f>
        <v>963</v>
      </c>
      <c r="C296" s="5">
        <f>PRRAS!K112</f>
        <v>2626</v>
      </c>
      <c r="D296" s="8">
        <v>0</v>
      </c>
      <c r="E296" s="8">
        <v>0</v>
      </c>
      <c r="F296" s="7">
        <f t="shared" si="8"/>
        <v>18334.25</v>
      </c>
      <c r="J296" s="8">
        <f t="shared" si="9"/>
        <v>0</v>
      </c>
    </row>
    <row r="297" spans="1:10" ht="12.75">
      <c r="A297" s="5">
        <f>202+PRRAS!I113</f>
        <v>296</v>
      </c>
      <c r="B297" s="5">
        <f>PRRAS!J113</f>
        <v>86234</v>
      </c>
      <c r="C297" s="5">
        <f>PRRAS!K113</f>
        <v>63846</v>
      </c>
      <c r="D297" s="8">
        <v>0</v>
      </c>
      <c r="E297" s="8">
        <v>0</v>
      </c>
      <c r="F297" s="7">
        <f t="shared" si="8"/>
        <v>633220.96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6908</v>
      </c>
      <c r="C299" s="5">
        <f>PRRAS!K115</f>
        <v>28328</v>
      </c>
      <c r="D299" s="8">
        <v>0</v>
      </c>
      <c r="E299" s="8">
        <v>0</v>
      </c>
      <c r="F299" s="7">
        <f t="shared" si="8"/>
        <v>189420.72</v>
      </c>
      <c r="J299" s="8">
        <f t="shared" si="9"/>
        <v>0</v>
      </c>
    </row>
    <row r="300" spans="1:10" ht="12.75">
      <c r="A300" s="5">
        <f>202+PRRAS!I116</f>
        <v>299</v>
      </c>
      <c r="B300" s="5">
        <f>PRRAS!J116</f>
        <v>300188</v>
      </c>
      <c r="C300" s="5">
        <f>PRRAS!K116</f>
        <v>257844</v>
      </c>
      <c r="D300" s="8">
        <v>0</v>
      </c>
      <c r="E300" s="8">
        <v>0</v>
      </c>
      <c r="F300" s="7">
        <f t="shared" si="8"/>
        <v>2439469.24</v>
      </c>
      <c r="J300" s="8">
        <f t="shared" si="9"/>
        <v>0</v>
      </c>
    </row>
    <row r="301" spans="1:10" ht="12.75">
      <c r="A301" s="5">
        <f>202+PRRAS!I117</f>
        <v>300</v>
      </c>
      <c r="B301" s="5">
        <f>PRRAS!J117</f>
        <v>142863</v>
      </c>
      <c r="C301" s="5">
        <f>PRRAS!K117</f>
        <v>34067</v>
      </c>
      <c r="D301" s="8">
        <v>0</v>
      </c>
      <c r="E301" s="8">
        <v>0</v>
      </c>
      <c r="F301" s="7">
        <f t="shared" si="8"/>
        <v>632991</v>
      </c>
      <c r="J301" s="8">
        <f t="shared" si="9"/>
        <v>0</v>
      </c>
    </row>
    <row r="302" spans="1:10" ht="12.75">
      <c r="A302" s="5">
        <f>202+PRRAS!I118</f>
        <v>301</v>
      </c>
      <c r="B302" s="5">
        <f>PRRAS!J118</f>
        <v>81797</v>
      </c>
      <c r="C302" s="5">
        <f>PRRAS!K118</f>
        <v>125627</v>
      </c>
      <c r="D302" s="8">
        <v>0</v>
      </c>
      <c r="E302" s="8">
        <v>0</v>
      </c>
      <c r="F302" s="7">
        <f t="shared" si="8"/>
        <v>1002483.5099999999</v>
      </c>
      <c r="J302" s="8">
        <f t="shared" si="9"/>
        <v>0</v>
      </c>
    </row>
    <row r="303" spans="1:10" ht="12.75">
      <c r="A303" s="5">
        <f>202+PRRAS!I119</f>
        <v>302</v>
      </c>
      <c r="B303" s="5">
        <f>PRRAS!J119</f>
        <v>46950</v>
      </c>
      <c r="C303" s="5">
        <f>PRRAS!K119</f>
        <v>76351</v>
      </c>
      <c r="D303" s="8">
        <v>0</v>
      </c>
      <c r="E303" s="8">
        <v>0</v>
      </c>
      <c r="F303" s="7">
        <f t="shared" si="8"/>
        <v>602949.04</v>
      </c>
      <c r="J303" s="8">
        <f t="shared" si="9"/>
        <v>0</v>
      </c>
    </row>
    <row r="304" spans="1:10" ht="12.75">
      <c r="A304" s="5">
        <f>202+PRRAS!I120</f>
        <v>303</v>
      </c>
      <c r="B304" s="5">
        <f>PRRAS!J120</f>
        <v>28578</v>
      </c>
      <c r="C304" s="5">
        <f>PRRAS!K120</f>
        <v>21799</v>
      </c>
      <c r="D304" s="8">
        <v>0</v>
      </c>
      <c r="E304" s="8">
        <v>0</v>
      </c>
      <c r="F304" s="7">
        <f t="shared" si="8"/>
        <v>218693.28</v>
      </c>
      <c r="J304" s="8">
        <f t="shared" si="9"/>
        <v>0</v>
      </c>
    </row>
    <row r="305" spans="1:10" ht="12.75">
      <c r="A305" s="5">
        <f>202+PRRAS!I121</f>
        <v>304</v>
      </c>
      <c r="B305" s="5">
        <f>PRRAS!J121</f>
        <v>23763</v>
      </c>
      <c r="C305" s="5">
        <f>PRRAS!K121</f>
        <v>13029</v>
      </c>
      <c r="D305" s="8">
        <v>0</v>
      </c>
      <c r="E305" s="8">
        <v>0</v>
      </c>
      <c r="F305" s="7">
        <f t="shared" si="8"/>
        <v>151455.84000000003</v>
      </c>
      <c r="J305" s="8">
        <f t="shared" si="9"/>
        <v>0</v>
      </c>
    </row>
    <row r="306" spans="1:10" ht="12.75">
      <c r="A306" s="5">
        <f>202+PRRAS!I122</f>
        <v>305</v>
      </c>
      <c r="B306" s="5">
        <f>PRRAS!J122</f>
        <v>7396</v>
      </c>
      <c r="C306" s="5">
        <f>PRRAS!K122</f>
        <v>7564</v>
      </c>
      <c r="D306" s="8">
        <v>0</v>
      </c>
      <c r="E306" s="8">
        <v>0</v>
      </c>
      <c r="F306" s="7">
        <f t="shared" si="8"/>
        <v>68698.2</v>
      </c>
      <c r="J306" s="8">
        <f t="shared" si="9"/>
        <v>0</v>
      </c>
    </row>
    <row r="307" spans="1:10" ht="12.75">
      <c r="A307" s="5">
        <f>202+PRRAS!I123</f>
        <v>306</v>
      </c>
      <c r="B307" s="5">
        <f>PRRAS!J123</f>
        <v>660</v>
      </c>
      <c r="C307" s="5">
        <f>PRRAS!K123</f>
        <v>1214</v>
      </c>
      <c r="D307" s="8">
        <v>0</v>
      </c>
      <c r="E307" s="8">
        <v>0</v>
      </c>
      <c r="F307" s="7">
        <f t="shared" si="8"/>
        <v>9449.28</v>
      </c>
      <c r="J307" s="8">
        <f t="shared" si="9"/>
        <v>0</v>
      </c>
    </row>
    <row r="308" spans="1:10" ht="12.75">
      <c r="A308" s="5">
        <f>202+PRRAS!I124</f>
        <v>307</v>
      </c>
      <c r="B308" s="5">
        <f>PRRAS!J124</f>
        <v>160</v>
      </c>
      <c r="C308" s="5">
        <f>PRRAS!K124</f>
        <v>0</v>
      </c>
      <c r="D308" s="8">
        <v>0</v>
      </c>
      <c r="E308" s="8">
        <v>0</v>
      </c>
      <c r="F308" s="7">
        <f t="shared" si="8"/>
        <v>491.2</v>
      </c>
      <c r="J308" s="8">
        <f t="shared" si="9"/>
        <v>0</v>
      </c>
    </row>
    <row r="309" spans="1:10" ht="12.75">
      <c r="A309" s="5">
        <f>202+PRRAS!I125</f>
        <v>308</v>
      </c>
      <c r="B309" s="5">
        <f>PRRAS!J125</f>
        <v>0</v>
      </c>
      <c r="C309" s="5">
        <f>PRRAS!K125</f>
        <v>722</v>
      </c>
      <c r="D309" s="8">
        <v>0</v>
      </c>
      <c r="E309" s="8">
        <v>0</v>
      </c>
      <c r="F309" s="7">
        <f t="shared" si="8"/>
        <v>4447.52</v>
      </c>
      <c r="J309" s="8">
        <f t="shared" si="9"/>
        <v>0</v>
      </c>
    </row>
    <row r="310" spans="1:10" ht="12.75">
      <c r="A310" s="5">
        <f>202+PRRAS!I126</f>
        <v>309</v>
      </c>
      <c r="B310" s="5">
        <f>PRRAS!J126</f>
        <v>15547</v>
      </c>
      <c r="C310" s="5">
        <f>PRRAS!K126</f>
        <v>3529</v>
      </c>
      <c r="D310" s="8">
        <v>0</v>
      </c>
      <c r="E310" s="8">
        <v>0</v>
      </c>
      <c r="F310" s="7">
        <f t="shared" si="8"/>
        <v>69849.45</v>
      </c>
      <c r="J310" s="8">
        <f t="shared" si="9"/>
        <v>0</v>
      </c>
    </row>
    <row r="311" spans="1:10" ht="12.75">
      <c r="A311" s="5">
        <f>202+PRRAS!I127</f>
        <v>310</v>
      </c>
      <c r="B311" s="5">
        <f>PRRAS!J127</f>
        <v>58288</v>
      </c>
      <c r="C311" s="5">
        <f>PRRAS!K127</f>
        <v>54759</v>
      </c>
      <c r="D311" s="8">
        <v>0</v>
      </c>
      <c r="E311" s="8">
        <v>0</v>
      </c>
      <c r="F311" s="7">
        <f t="shared" si="8"/>
        <v>520198.6</v>
      </c>
      <c r="J311" s="8">
        <f t="shared" si="9"/>
        <v>0</v>
      </c>
    </row>
    <row r="312" spans="1:10" ht="12.75">
      <c r="A312" s="5">
        <f>202+PRRAS!I128</f>
        <v>311</v>
      </c>
      <c r="B312" s="5">
        <f>PRRAS!J128</f>
        <v>10035</v>
      </c>
      <c r="C312" s="5">
        <f>PRRAS!K128</f>
        <v>9433</v>
      </c>
      <c r="D312" s="8">
        <v>0</v>
      </c>
      <c r="E312" s="8">
        <v>0</v>
      </c>
      <c r="F312" s="7">
        <f t="shared" si="8"/>
        <v>89882.10999999999</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4632</v>
      </c>
      <c r="C314" s="5">
        <f>PRRAS!K130</f>
        <v>2787</v>
      </c>
      <c r="D314" s="8">
        <v>0</v>
      </c>
      <c r="E314" s="8">
        <v>0</v>
      </c>
      <c r="F314" s="7">
        <f t="shared" si="8"/>
        <v>31944.78</v>
      </c>
      <c r="J314" s="8">
        <f t="shared" si="9"/>
        <v>0</v>
      </c>
    </row>
    <row r="315" spans="1:10" ht="12.75">
      <c r="A315" s="5">
        <f>202+PRRAS!I131</f>
        <v>314</v>
      </c>
      <c r="B315" s="5">
        <f>PRRAS!J131</f>
        <v>4632</v>
      </c>
      <c r="C315" s="5">
        <f>PRRAS!K131</f>
        <v>2787</v>
      </c>
      <c r="D315" s="8">
        <v>0</v>
      </c>
      <c r="E315" s="8">
        <v>0</v>
      </c>
      <c r="F315" s="7">
        <f t="shared" si="8"/>
        <v>32046.840000000004</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5403</v>
      </c>
      <c r="C318" s="5">
        <f>PRRAS!K134</f>
        <v>6646</v>
      </c>
      <c r="D318" s="8">
        <v>0</v>
      </c>
      <c r="E318" s="8">
        <v>0</v>
      </c>
      <c r="F318" s="7">
        <f t="shared" si="8"/>
        <v>59263.149999999994</v>
      </c>
      <c r="J318" s="8">
        <f t="shared" si="9"/>
        <v>0</v>
      </c>
    </row>
    <row r="319" spans="1:10" ht="12.75">
      <c r="A319" s="5">
        <f>202+PRRAS!I135</f>
        <v>318</v>
      </c>
      <c r="B319" s="5">
        <f>PRRAS!J135</f>
        <v>4482</v>
      </c>
      <c r="C319" s="5">
        <f>PRRAS!K135</f>
        <v>5712</v>
      </c>
      <c r="D319" s="8">
        <v>0</v>
      </c>
      <c r="E319" s="8">
        <v>0</v>
      </c>
      <c r="F319" s="7">
        <f t="shared" si="8"/>
        <v>50581.08</v>
      </c>
      <c r="J319" s="8">
        <f t="shared" si="9"/>
        <v>0</v>
      </c>
    </row>
    <row r="320" spans="1:10" ht="12.75">
      <c r="A320" s="5">
        <f>202+PRRAS!I136</f>
        <v>319</v>
      </c>
      <c r="B320" s="5">
        <f>PRRAS!J136</f>
        <v>921</v>
      </c>
      <c r="C320" s="5">
        <f>PRRAS!K136</f>
        <v>908</v>
      </c>
      <c r="D320" s="8">
        <v>0</v>
      </c>
      <c r="E320" s="8">
        <v>0</v>
      </c>
      <c r="F320" s="7">
        <f t="shared" si="8"/>
        <v>8731.029999999999</v>
      </c>
      <c r="J320" s="8">
        <f t="shared" si="9"/>
        <v>0</v>
      </c>
    </row>
    <row r="321" spans="1:10" ht="12.75">
      <c r="A321" s="5">
        <f>202+PRRAS!I137</f>
        <v>320</v>
      </c>
      <c r="B321" s="5">
        <f>PRRAS!J137</f>
        <v>0</v>
      </c>
      <c r="C321" s="5">
        <f>PRRAS!K137</f>
        <v>1</v>
      </c>
      <c r="D321" s="8">
        <v>0</v>
      </c>
      <c r="E321" s="8">
        <v>0</v>
      </c>
      <c r="F321" s="7">
        <f t="shared" si="8"/>
        <v>6.4</v>
      </c>
      <c r="J321" s="8">
        <f t="shared" si="9"/>
        <v>0</v>
      </c>
    </row>
    <row r="322" spans="1:10" ht="12.75">
      <c r="A322" s="5">
        <f>202+PRRAS!I138</f>
        <v>321</v>
      </c>
      <c r="B322" s="5">
        <f>PRRAS!J138</f>
        <v>0</v>
      </c>
      <c r="C322" s="5">
        <f>PRRAS!K138</f>
        <v>25</v>
      </c>
      <c r="D322" s="8">
        <v>0</v>
      </c>
      <c r="E322" s="8">
        <v>0</v>
      </c>
      <c r="F322" s="7">
        <f aca="true" t="shared" si="10" ref="F322:F374">A322/100*B322+A322/50*C322</f>
        <v>160.5</v>
      </c>
      <c r="J322" s="8">
        <f aca="true" t="shared" si="11" ref="J322:J374">ABS(B322-ROUND(B322,0))+ABS(C322-ROUND(C322,0))</f>
        <v>0</v>
      </c>
    </row>
    <row r="323" spans="1:10" ht="12.75">
      <c r="A323" s="5">
        <f>202+PRRAS!I139</f>
        <v>322</v>
      </c>
      <c r="B323" s="5">
        <f>PRRAS!J139</f>
        <v>10000</v>
      </c>
      <c r="C323" s="5">
        <f>PRRAS!K139</f>
        <v>129253</v>
      </c>
      <c r="D323" s="8">
        <v>0</v>
      </c>
      <c r="E323" s="8">
        <v>0</v>
      </c>
      <c r="F323" s="7">
        <f t="shared" si="10"/>
        <v>864589.3200000001</v>
      </c>
      <c r="J323" s="8">
        <f t="shared" si="11"/>
        <v>0</v>
      </c>
    </row>
    <row r="324" spans="1:10" ht="12.75">
      <c r="A324" s="5">
        <f>202+PRRAS!I140</f>
        <v>323</v>
      </c>
      <c r="B324" s="5">
        <f>PRRAS!J140</f>
        <v>10000</v>
      </c>
      <c r="C324" s="5">
        <f>PRRAS!K140</f>
        <v>129253</v>
      </c>
      <c r="D324" s="8">
        <v>0</v>
      </c>
      <c r="E324" s="8">
        <v>0</v>
      </c>
      <c r="F324" s="7">
        <f t="shared" si="10"/>
        <v>867274.38</v>
      </c>
      <c r="J324" s="8">
        <f t="shared" si="11"/>
        <v>0</v>
      </c>
    </row>
    <row r="325" spans="1:10" ht="12.75">
      <c r="A325" s="5">
        <f>202+PRRAS!I141</f>
        <v>324</v>
      </c>
      <c r="B325" s="5">
        <f>PRRAS!J141</f>
        <v>10000</v>
      </c>
      <c r="C325" s="5">
        <f>PRRAS!K141</f>
        <v>129253</v>
      </c>
      <c r="D325" s="8">
        <v>0</v>
      </c>
      <c r="E325" s="8">
        <v>0</v>
      </c>
      <c r="F325" s="7">
        <f t="shared" si="10"/>
        <v>869959.4400000001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690</v>
      </c>
      <c r="C331" s="5">
        <f>PRRAS!K147</f>
        <v>0</v>
      </c>
      <c r="D331" s="8">
        <v>0</v>
      </c>
      <c r="E331" s="8">
        <v>0</v>
      </c>
      <c r="F331" s="7">
        <f t="shared" si="10"/>
        <v>2277</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690</v>
      </c>
      <c r="C337" s="5">
        <f>PRRAS!K153</f>
        <v>0</v>
      </c>
      <c r="D337" s="8">
        <v>0</v>
      </c>
      <c r="E337" s="8">
        <v>0</v>
      </c>
      <c r="F337" s="7">
        <f t="shared" si="10"/>
        <v>2318.4</v>
      </c>
      <c r="J337" s="8">
        <f t="shared" si="11"/>
        <v>0</v>
      </c>
    </row>
    <row r="338" spans="1:10" ht="12.75">
      <c r="A338" s="5">
        <f>202+PRRAS!I154</f>
        <v>337</v>
      </c>
      <c r="B338" s="5">
        <f>PRRAS!J154</f>
        <v>690</v>
      </c>
      <c r="C338" s="5">
        <f>PRRAS!K154</f>
        <v>0</v>
      </c>
      <c r="D338" s="8">
        <v>0</v>
      </c>
      <c r="E338" s="8">
        <v>0</v>
      </c>
      <c r="F338" s="7">
        <f t="shared" si="10"/>
        <v>2325.3</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3107736</v>
      </c>
      <c r="C351" s="5">
        <f>PRRAS!K167</f>
        <v>2136980</v>
      </c>
      <c r="D351" s="8">
        <v>0</v>
      </c>
      <c r="E351" s="8">
        <v>0</v>
      </c>
      <c r="F351" s="7">
        <f t="shared" si="10"/>
        <v>25835936</v>
      </c>
      <c r="J351" s="8">
        <f t="shared" si="11"/>
        <v>0</v>
      </c>
    </row>
    <row r="352" spans="1:10" ht="12.75">
      <c r="A352" s="5">
        <f>202+PRRAS!I168</f>
        <v>351</v>
      </c>
      <c r="B352" s="5">
        <f>PRRAS!J168</f>
        <v>248978</v>
      </c>
      <c r="C352" s="5">
        <f>PRRAS!K168</f>
        <v>17664</v>
      </c>
      <c r="D352" s="8">
        <v>0</v>
      </c>
      <c r="E352" s="8">
        <v>0</v>
      </c>
      <c r="F352" s="7">
        <f t="shared" si="10"/>
        <v>997914.0599999999</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17347</v>
      </c>
      <c r="C354" s="5">
        <f>PRRAS!K170</f>
        <v>140170</v>
      </c>
      <c r="D354" s="8">
        <v>0</v>
      </c>
      <c r="E354" s="8">
        <v>0</v>
      </c>
      <c r="F354" s="7">
        <f t="shared" si="10"/>
        <v>1050835.1099999999</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266325</v>
      </c>
      <c r="C357" s="5">
        <f>PRRAS!K173</f>
        <v>157834</v>
      </c>
      <c r="D357" s="8">
        <v>0</v>
      </c>
      <c r="E357" s="8">
        <v>0</v>
      </c>
      <c r="F357" s="7">
        <f t="shared" si="10"/>
        <v>2071895.08</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364233</v>
      </c>
      <c r="C359" s="5">
        <f>PRRAS!K176</f>
        <v>252992</v>
      </c>
      <c r="D359" s="8">
        <v>0</v>
      </c>
      <c r="E359" s="8">
        <v>0</v>
      </c>
      <c r="F359" s="7">
        <f t="shared" si="10"/>
        <v>3115376.8600000003</v>
      </c>
      <c r="J359" s="8">
        <f t="shared" si="11"/>
        <v>0</v>
      </c>
    </row>
    <row r="360" spans="1:10" ht="12.75">
      <c r="A360" s="5">
        <f>202+PRRAS!I177</f>
        <v>359</v>
      </c>
      <c r="B360" s="5">
        <f>PRRAS!J177</f>
        <v>3439111</v>
      </c>
      <c r="C360" s="5">
        <f>PRRAS!K177</f>
        <v>1954754</v>
      </c>
      <c r="D360" s="8">
        <v>0</v>
      </c>
      <c r="E360" s="8">
        <v>0</v>
      </c>
      <c r="F360" s="7">
        <f t="shared" si="10"/>
        <v>26381542.21</v>
      </c>
      <c r="J360" s="8">
        <f t="shared" si="11"/>
        <v>0</v>
      </c>
    </row>
    <row r="361" spans="1:10" ht="12.75">
      <c r="A361" s="5">
        <f>202+PRRAS!I178</f>
        <v>360</v>
      </c>
      <c r="B361" s="5">
        <f>PRRAS!J178</f>
        <v>3550352</v>
      </c>
      <c r="C361" s="5">
        <f>PRRAS!K178</f>
        <v>2050820</v>
      </c>
      <c r="D361" s="8">
        <v>0</v>
      </c>
      <c r="E361" s="8">
        <v>0</v>
      </c>
      <c r="F361" s="7">
        <f t="shared" si="10"/>
        <v>27547171.200000003</v>
      </c>
      <c r="J361" s="8">
        <f t="shared" si="11"/>
        <v>0</v>
      </c>
    </row>
    <row r="362" spans="1:10" ht="12.75">
      <c r="A362" s="5">
        <f>202+PRRAS!I179</f>
        <v>361</v>
      </c>
      <c r="B362" s="5">
        <f>PRRAS!J179</f>
        <v>252992</v>
      </c>
      <c r="C362" s="5">
        <f>PRRAS!K179</f>
        <v>156926</v>
      </c>
      <c r="D362" s="8">
        <v>0</v>
      </c>
      <c r="E362" s="8">
        <v>0</v>
      </c>
      <c r="F362" s="7">
        <f t="shared" si="10"/>
        <v>2046306.8399999999</v>
      </c>
      <c r="J362" s="8">
        <f t="shared" si="11"/>
        <v>0</v>
      </c>
    </row>
    <row r="363" spans="1:10" ht="12.75">
      <c r="A363" s="5">
        <f>202+PRRAS!I180</f>
        <v>362</v>
      </c>
      <c r="B363" s="5">
        <f>PRRAS!J180</f>
        <v>30</v>
      </c>
      <c r="C363" s="5">
        <f>PRRAS!K180</f>
        <v>16</v>
      </c>
      <c r="D363" s="8">
        <v>0</v>
      </c>
      <c r="E363" s="8">
        <v>0</v>
      </c>
      <c r="F363" s="7">
        <f t="shared" si="10"/>
        <v>224.44</v>
      </c>
      <c r="J363" s="8">
        <f t="shared" si="11"/>
        <v>0</v>
      </c>
    </row>
    <row r="364" spans="1:10" ht="12.75">
      <c r="A364" s="5">
        <f>202+PRRAS!I181</f>
        <v>363</v>
      </c>
      <c r="B364" s="5">
        <f>PRRAS!J181</f>
        <v>28</v>
      </c>
      <c r="C364" s="5">
        <f>PRRAS!K181</f>
        <v>12</v>
      </c>
      <c r="D364" s="8">
        <v>0</v>
      </c>
      <c r="E364" s="8">
        <v>0</v>
      </c>
      <c r="F364" s="7">
        <f t="shared" si="10"/>
        <v>188.76</v>
      </c>
      <c r="J364" s="8">
        <f t="shared" si="11"/>
        <v>0</v>
      </c>
    </row>
    <row r="365" spans="1:10" ht="12.75">
      <c r="A365" s="5">
        <f>202+PRRAS!I182</f>
        <v>364</v>
      </c>
      <c r="B365" s="5">
        <f>PRRAS!J182</f>
        <v>10</v>
      </c>
      <c r="C365" s="5">
        <f>PRRAS!K182</f>
        <v>9</v>
      </c>
      <c r="D365" s="8">
        <v>0</v>
      </c>
      <c r="E365" s="8">
        <v>0</v>
      </c>
      <c r="F365" s="7">
        <f t="shared" si="10"/>
        <v>101.91999999999999</v>
      </c>
      <c r="J365" s="8">
        <f t="shared" si="11"/>
        <v>0</v>
      </c>
    </row>
    <row r="366" spans="1:10" ht="12.75">
      <c r="A366" s="5">
        <f>202+PRRAS!I183</f>
        <v>365</v>
      </c>
      <c r="B366" s="5">
        <f>PRRAS!J183</f>
        <v>2242</v>
      </c>
      <c r="C366" s="5">
        <f>PRRAS!K183</f>
        <v>1984</v>
      </c>
      <c r="D366" s="8">
        <v>0</v>
      </c>
      <c r="E366" s="8">
        <v>0</v>
      </c>
      <c r="F366" s="7">
        <f t="shared" si="10"/>
        <v>22666.5</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2310</v>
      </c>
      <c r="C374" s="5">
        <f>PRRAS!K194</f>
        <v>2021</v>
      </c>
      <c r="D374" s="8">
        <v>0</v>
      </c>
      <c r="E374" s="8">
        <v>0</v>
      </c>
      <c r="F374" s="7">
        <f t="shared" si="10"/>
        <v>23692.96</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HR6324020061100653723</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04008863</v>
      </c>
      <c r="I3" s="9" t="s">
        <v>661</v>
      </c>
      <c r="J3" s="8">
        <f t="shared" si="1"/>
        <v>0</v>
      </c>
    </row>
    <row r="4" spans="1:10" ht="12.75">
      <c r="A4" s="5">
        <v>3</v>
      </c>
      <c r="B4" s="8">
        <v>0</v>
      </c>
      <c r="C4" s="8">
        <v>0</v>
      </c>
      <c r="D4" s="8">
        <v>0</v>
      </c>
      <c r="E4" s="8">
        <v>0</v>
      </c>
      <c r="F4" s="7">
        <f t="shared" si="0"/>
        <v>0</v>
      </c>
      <c r="G4" s="6" t="str">
        <f>IF(ISERROR(RefStr!C7),"-",UPPER(TRIM(RefStr!C7)))</f>
        <v>UDRUGA ŽENE KOSOVSKE DOLINE</v>
      </c>
      <c r="I4" s="9" t="s">
        <v>662</v>
      </c>
      <c r="J4" s="8">
        <f t="shared" si="1"/>
        <v>0</v>
      </c>
    </row>
    <row r="5" spans="1:10" ht="12.75">
      <c r="A5" s="5">
        <v>4</v>
      </c>
      <c r="B5" s="8">
        <v>0</v>
      </c>
      <c r="C5" s="8">
        <v>0</v>
      </c>
      <c r="D5" s="8">
        <v>0</v>
      </c>
      <c r="E5" s="8">
        <v>0</v>
      </c>
      <c r="F5" s="7">
        <f t="shared" si="0"/>
        <v>0</v>
      </c>
      <c r="G5" s="6" t="str">
        <f>TEXT(INT(VALUE(RefStr!C9)),"00000")</f>
        <v>22300</v>
      </c>
      <c r="I5" s="9" t="s">
        <v>663</v>
      </c>
      <c r="J5" s="8">
        <f t="shared" si="1"/>
        <v>0</v>
      </c>
    </row>
    <row r="6" spans="1:10" ht="12.75">
      <c r="A6" s="5">
        <v>5</v>
      </c>
      <c r="B6" s="8">
        <v>0</v>
      </c>
      <c r="C6" s="8">
        <v>0</v>
      </c>
      <c r="D6" s="8">
        <v>0</v>
      </c>
      <c r="E6" s="8">
        <v>0</v>
      </c>
      <c r="F6" s="7">
        <f t="shared" si="0"/>
        <v>0</v>
      </c>
      <c r="G6" s="6" t="str">
        <f>IF(ISERROR(RefStr!E9),"-",UPPER(TRIM(RefStr!E9)))</f>
        <v>RIĐANE, 22300 KNIN</v>
      </c>
      <c r="I6" s="9" t="s">
        <v>664</v>
      </c>
      <c r="J6" s="8">
        <f t="shared" si="1"/>
        <v>0</v>
      </c>
    </row>
    <row r="7" spans="1:10" ht="12.75">
      <c r="A7" s="5">
        <v>6</v>
      </c>
      <c r="B7" s="8">
        <v>0</v>
      </c>
      <c r="C7" s="8">
        <v>0</v>
      </c>
      <c r="D7" s="8">
        <v>0</v>
      </c>
      <c r="E7" s="8">
        <v>0</v>
      </c>
      <c r="F7" s="7">
        <f t="shared" si="0"/>
        <v>0</v>
      </c>
      <c r="G7" s="6" t="str">
        <f>IF(ISERROR(RefStr!C11),"-",(TRIM(RefStr!C11)))</f>
        <v>RIĐANE CENTAR 84</v>
      </c>
      <c r="I7" s="9" t="s">
        <v>665</v>
      </c>
      <c r="J7" s="8">
        <f t="shared" si="1"/>
        <v>0</v>
      </c>
    </row>
    <row r="8" spans="1:10" ht="12.75">
      <c r="A8" s="5">
        <v>7</v>
      </c>
      <c r="B8" s="8">
        <v>0</v>
      </c>
      <c r="C8" s="8">
        <v>0</v>
      </c>
      <c r="D8" s="8">
        <v>0</v>
      </c>
      <c r="E8" s="8">
        <v>0</v>
      </c>
      <c r="F8" s="7">
        <f t="shared" si="0"/>
        <v>0</v>
      </c>
      <c r="G8" s="6" t="str">
        <f>TEXT(INT(VALUE(RefStr!C15)),"0000")</f>
        <v>9499</v>
      </c>
      <c r="I8" s="9" t="s">
        <v>666</v>
      </c>
      <c r="J8" s="8">
        <f t="shared" si="1"/>
        <v>0</v>
      </c>
    </row>
    <row r="9" spans="1:10" ht="12.75">
      <c r="A9" s="5">
        <v>8</v>
      </c>
      <c r="B9" s="8">
        <v>0</v>
      </c>
      <c r="C9" s="8">
        <v>0</v>
      </c>
      <c r="D9" s="8">
        <v>0</v>
      </c>
      <c r="E9" s="8">
        <v>0</v>
      </c>
      <c r="F9" s="7">
        <f t="shared" si="0"/>
        <v>0</v>
      </c>
      <c r="G9" s="6" t="str">
        <f>IF(RefStr!J17&lt;&gt;"",TEXT(INT(VALUE(RefStr!J17)),"00"),"00")</f>
        <v>15</v>
      </c>
      <c r="I9" s="9" t="s">
        <v>667</v>
      </c>
      <c r="J9" s="8">
        <f t="shared" si="1"/>
        <v>0</v>
      </c>
    </row>
    <row r="10" spans="1:10" ht="12.75">
      <c r="A10" s="5">
        <v>9</v>
      </c>
      <c r="B10" s="8">
        <v>0</v>
      </c>
      <c r="C10" s="8">
        <v>0</v>
      </c>
      <c r="D10" s="8">
        <v>0</v>
      </c>
      <c r="E10" s="8">
        <v>0</v>
      </c>
      <c r="F10" s="7">
        <f t="shared" si="0"/>
        <v>0</v>
      </c>
      <c r="G10" s="6" t="str">
        <f>TEXT(INT(VALUE(RefStr!C17)),"000")</f>
        <v>196</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RADMILA BERIĆ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IVANA ĐURETIĆ</v>
      </c>
      <c r="I20" s="9" t="s">
        <v>280</v>
      </c>
      <c r="J20" s="8">
        <f t="shared" si="1"/>
        <v>0</v>
      </c>
    </row>
    <row r="21" spans="1:10" ht="12.75">
      <c r="A21" s="5">
        <v>20</v>
      </c>
      <c r="B21" s="8">
        <v>0</v>
      </c>
      <c r="C21" s="8">
        <v>0</v>
      </c>
      <c r="D21" s="8">
        <v>0</v>
      </c>
      <c r="E21" s="8">
        <v>0</v>
      </c>
      <c r="F21" s="7">
        <f t="shared" si="0"/>
        <v>0</v>
      </c>
      <c r="G21" s="6" t="str">
        <f>IF(ISERROR(RefStr!D45),"-",UPPER(TRIM(RefStr!D45)))</f>
        <v>0915445500</v>
      </c>
      <c r="I21" s="9" t="s">
        <v>281</v>
      </c>
      <c r="J21" s="8">
        <f t="shared" si="1"/>
        <v>0</v>
      </c>
    </row>
    <row r="22" spans="1:10" ht="12.75">
      <c r="A22" s="5">
        <v>21</v>
      </c>
      <c r="B22" s="8">
        <v>0</v>
      </c>
      <c r="C22" s="8">
        <v>0</v>
      </c>
      <c r="D22" s="8">
        <v>0</v>
      </c>
      <c r="E22" s="8">
        <v>0</v>
      </c>
      <c r="F22" s="7">
        <f t="shared" si="0"/>
        <v>0</v>
      </c>
      <c r="G22" s="6" t="str">
        <f>IF(ISERROR(RefStr!D47),"-",UPPER(TRIM(RefStr!D47)))</f>
        <v>-</v>
      </c>
      <c r="I22" s="11" t="s">
        <v>282</v>
      </c>
      <c r="J22" s="8">
        <f t="shared" si="1"/>
        <v>0</v>
      </c>
    </row>
    <row r="23" spans="1:10" ht="12.75">
      <c r="A23" s="5">
        <v>22</v>
      </c>
      <c r="B23" s="8">
        <v>0</v>
      </c>
      <c r="C23" s="8">
        <v>0</v>
      </c>
      <c r="D23" s="8">
        <v>0</v>
      </c>
      <c r="E23" s="8">
        <v>0</v>
      </c>
      <c r="F23" s="7">
        <f t="shared" si="0"/>
        <v>0</v>
      </c>
      <c r="G23" s="6" t="str">
        <f>IF(ISERROR(RefStr!D49),"-",LOWER(TRIM(RefStr!D49)))</f>
        <v>ivana.irissavjetovanje@gmail.com</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79896958112</v>
      </c>
      <c r="I38" s="9" t="s">
        <v>2664</v>
      </c>
      <c r="J38" s="8">
        <f t="shared" si="3"/>
        <v>0</v>
      </c>
    </row>
    <row r="39" spans="1:10" ht="12.75">
      <c r="A39" s="5">
        <v>38</v>
      </c>
      <c r="B39" s="8">
        <v>0</v>
      </c>
      <c r="C39" s="8">
        <v>0</v>
      </c>
      <c r="D39" s="8">
        <v>0</v>
      </c>
      <c r="E39" s="8">
        <v>0</v>
      </c>
      <c r="F39" s="7">
        <f t="shared" si="2"/>
        <v>0</v>
      </c>
      <c r="G39" s="6" t="str">
        <f>TEXT(INT(VALUE(RefStr!J9)),"00000")</f>
        <v>238904</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252074451.79</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41">A2/100*B2+A2/50*C2</f>
        <v>0</v>
      </c>
      <c r="G2" s="9" t="str">
        <f>TRIM(UPPER(RefStr!C13))</f>
        <v>HR6324020061100653723</v>
      </c>
      <c r="H2" s="13">
        <v>0</v>
      </c>
      <c r="I2" s="9" t="s">
        <v>660</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04008863</v>
      </c>
      <c r="I3" s="9" t="s">
        <v>661</v>
      </c>
      <c r="J3" s="8">
        <f t="shared" si="1"/>
        <v>0</v>
      </c>
    </row>
    <row r="4" spans="1:10" ht="12.75">
      <c r="A4" s="5">
        <f>GPRIZNPF!I21</f>
        <v>3</v>
      </c>
      <c r="B4" s="8">
        <f>GPRIZNPF!J21</f>
        <v>0</v>
      </c>
      <c r="C4" s="8">
        <f>GPRIZNPF!K21</f>
        <v>0</v>
      </c>
      <c r="D4" s="8">
        <v>0</v>
      </c>
      <c r="E4" s="8">
        <v>0</v>
      </c>
      <c r="F4" s="7">
        <f t="shared" si="0"/>
        <v>0</v>
      </c>
      <c r="G4" s="6" t="str">
        <f>IF(ISERROR(RefStr!C7),"-",UPPER(TRIM(RefStr!C7)))</f>
        <v>UDRUGA ŽENE KOSOVSKE DOLINE</v>
      </c>
      <c r="I4" s="9" t="s">
        <v>662</v>
      </c>
      <c r="J4" s="8">
        <f t="shared" si="1"/>
        <v>0</v>
      </c>
    </row>
    <row r="5" spans="1:10" ht="12.75">
      <c r="A5" s="5">
        <f>GPRIZNPF!I22</f>
        <v>4</v>
      </c>
      <c r="B5" s="8">
        <f>GPRIZNPF!J22</f>
        <v>0</v>
      </c>
      <c r="C5" s="8">
        <f>GPRIZNPF!K22</f>
        <v>0</v>
      </c>
      <c r="D5" s="8">
        <v>0</v>
      </c>
      <c r="E5" s="8">
        <v>0</v>
      </c>
      <c r="F5" s="7">
        <f t="shared" si="0"/>
        <v>0</v>
      </c>
      <c r="G5" s="6" t="str">
        <f>TEXT(INT(VALUE(RefStr!C9)),"00000")</f>
        <v>22300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RIĐANE, 22300 KNIN</v>
      </c>
      <c r="I6" s="9" t="s">
        <v>664</v>
      </c>
      <c r="J6" s="8">
        <f t="shared" si="1"/>
        <v>0</v>
      </c>
    </row>
    <row r="7" spans="1:10" ht="12.75">
      <c r="A7" s="5">
        <f>GPRIZNPF!I24</f>
        <v>6</v>
      </c>
      <c r="B7" s="8">
        <f>GPRIZNPF!J24</f>
        <v>0</v>
      </c>
      <c r="C7" s="8">
        <f>GPRIZNPF!K24</f>
        <v>0</v>
      </c>
      <c r="D7" s="8">
        <v>0</v>
      </c>
      <c r="E7" s="8">
        <v>0</v>
      </c>
      <c r="F7" s="7">
        <f t="shared" si="0"/>
        <v>0</v>
      </c>
      <c r="G7" s="6" t="str">
        <f>IF(ISERROR(RefStr!C11),"-",(TRIM(RefStr!C11)))</f>
        <v>RIĐANE CENTAR 84</v>
      </c>
      <c r="I7" s="9" t="s">
        <v>665</v>
      </c>
      <c r="J7" s="8">
        <f t="shared" si="1"/>
        <v>0</v>
      </c>
    </row>
    <row r="8" spans="1:10" ht="12.75">
      <c r="A8" s="5">
        <f>GPRIZNPF!I25</f>
        <v>7</v>
      </c>
      <c r="B8" s="8">
        <f>GPRIZNPF!J25</f>
        <v>0</v>
      </c>
      <c r="C8" s="8">
        <f>GPRIZNPF!K25</f>
        <v>0</v>
      </c>
      <c r="D8" s="8">
        <v>0</v>
      </c>
      <c r="E8" s="8">
        <v>0</v>
      </c>
      <c r="F8" s="7">
        <f t="shared" si="0"/>
        <v>0</v>
      </c>
      <c r="G8" s="6" t="str">
        <f>TEXT(INT(VALUE(RefStr!C15)),"0000")</f>
        <v>9499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15</v>
      </c>
      <c r="I9" s="9" t="s">
        <v>667</v>
      </c>
      <c r="J9" s="8">
        <f t="shared" si="1"/>
        <v>0</v>
      </c>
    </row>
    <row r="10" spans="1:10" ht="12.75">
      <c r="A10" s="5">
        <f>GPRIZNPF!I27</f>
        <v>9</v>
      </c>
      <c r="B10" s="8">
        <f>GPRIZNPF!J27</f>
        <v>0</v>
      </c>
      <c r="C10" s="8">
        <f>GPRIZNPF!K27</f>
        <v>0</v>
      </c>
      <c r="D10" s="8">
        <v>0</v>
      </c>
      <c r="E10" s="8">
        <v>0</v>
      </c>
      <c r="F10" s="7">
        <f t="shared" si="0"/>
        <v>0</v>
      </c>
      <c r="G10" s="6" t="str">
        <f>TEXT(INT(VALUE(RefStr!C17)),"000")</f>
        <v>196</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t="shared" si="0"/>
        <v>0</v>
      </c>
      <c r="G17" s="6" t="s">
        <v>2848</v>
      </c>
      <c r="I17" s="11" t="s">
        <v>277</v>
      </c>
      <c r="J17" s="8">
        <f t="shared" si="1"/>
        <v>0</v>
      </c>
    </row>
    <row r="18" spans="1:10" ht="12.75">
      <c r="A18" s="5">
        <f>GPRIZNPF!I36</f>
        <v>17</v>
      </c>
      <c r="B18" s="8">
        <f>GPRIZNPF!J36</f>
        <v>0</v>
      </c>
      <c r="C18" s="8">
        <f>GPRIZNPF!K36</f>
        <v>0</v>
      </c>
      <c r="D18" s="8">
        <v>0</v>
      </c>
      <c r="E18" s="8">
        <v>0</v>
      </c>
      <c r="F18" s="7">
        <f t="shared" si="0"/>
        <v>0</v>
      </c>
      <c r="G18" s="6" t="str">
        <f>IF(ISERROR(RefStr!D39),"-",UPPER(TRIM(RefStr!D39)))</f>
        <v>RADMILA BERIĆ</v>
      </c>
      <c r="I18" s="11" t="s">
        <v>278</v>
      </c>
      <c r="J18" s="8">
        <f t="shared" si="1"/>
        <v>0</v>
      </c>
    </row>
    <row r="19" spans="1:10" ht="12.75">
      <c r="A19" s="5">
        <f>GPRIZNPF!I37</f>
        <v>18</v>
      </c>
      <c r="B19" s="8">
        <f>GPRIZNPF!J37</f>
        <v>0</v>
      </c>
      <c r="C19" s="8">
        <f>GPRIZNPF!K37</f>
        <v>0</v>
      </c>
      <c r="D19" s="8">
        <v>0</v>
      </c>
      <c r="E19" s="8">
        <v>0</v>
      </c>
      <c r="F19" s="7">
        <f t="shared" si="0"/>
        <v>0</v>
      </c>
      <c r="I19" s="11" t="s">
        <v>279</v>
      </c>
      <c r="J19" s="8">
        <f t="shared" si="1"/>
        <v>0</v>
      </c>
    </row>
    <row r="20" spans="1:10" ht="12.75">
      <c r="A20" s="5">
        <f>GPRIZNPF!I38</f>
        <v>19</v>
      </c>
      <c r="B20" s="8">
        <f>GPRIZNPF!J38</f>
        <v>0</v>
      </c>
      <c r="C20" s="8">
        <f>GPRIZNPF!K38</f>
        <v>0</v>
      </c>
      <c r="D20" s="8">
        <v>0</v>
      </c>
      <c r="E20" s="8">
        <v>0</v>
      </c>
      <c r="F20" s="7">
        <f t="shared" si="0"/>
        <v>0</v>
      </c>
      <c r="G20" s="6" t="str">
        <f>IF(ISERROR(RefStr!D43),"-",UPPER(TRIM(RefStr!D43)))</f>
        <v>IVANA ĐURETIĆ</v>
      </c>
      <c r="I20" s="9" t="s">
        <v>280</v>
      </c>
      <c r="J20" s="8">
        <f t="shared" si="1"/>
        <v>0</v>
      </c>
    </row>
    <row r="21" spans="1:10" ht="12.75">
      <c r="A21" s="5">
        <f>GPRIZNPF!I39</f>
        <v>20</v>
      </c>
      <c r="B21" s="8">
        <f>GPRIZNPF!J39</f>
        <v>0</v>
      </c>
      <c r="C21" s="8">
        <f>GPRIZNPF!K39</f>
        <v>0</v>
      </c>
      <c r="D21" s="8">
        <v>0</v>
      </c>
      <c r="E21" s="8">
        <v>0</v>
      </c>
      <c r="F21" s="7">
        <f t="shared" si="0"/>
        <v>0</v>
      </c>
      <c r="G21" s="6" t="str">
        <f>IF(ISERROR(RefStr!D45),"-",UPPER(TRIM(RefStr!D45)))</f>
        <v>0915445500</v>
      </c>
      <c r="I21" s="9" t="s">
        <v>281</v>
      </c>
      <c r="J21" s="8">
        <f t="shared" si="1"/>
        <v>0</v>
      </c>
    </row>
    <row r="22" spans="1:10" ht="12.75">
      <c r="A22" s="5">
        <f>GPRIZNPF!I40</f>
        <v>21</v>
      </c>
      <c r="B22" s="8">
        <f>GPRIZNPF!J40</f>
        <v>0</v>
      </c>
      <c r="C22" s="8">
        <f>GPRIZNPF!K40</f>
        <v>0</v>
      </c>
      <c r="D22" s="8">
        <v>0</v>
      </c>
      <c r="E22" s="8">
        <v>0</v>
      </c>
      <c r="F22" s="7">
        <f t="shared" si="0"/>
        <v>0</v>
      </c>
      <c r="G22" s="6" t="str">
        <f>IF(ISERROR(RefStr!D47),"-",UPPER(TRIM(RefStr!D47)))</f>
        <v>-</v>
      </c>
      <c r="I22" s="11" t="s">
        <v>282</v>
      </c>
      <c r="J22" s="8">
        <f t="shared" si="1"/>
        <v>0</v>
      </c>
    </row>
    <row r="23" spans="1:10" ht="12.75">
      <c r="A23" s="5">
        <f>GPRIZNPF!I41</f>
        <v>22</v>
      </c>
      <c r="B23" s="8">
        <f>GPRIZNPF!J41</f>
        <v>0</v>
      </c>
      <c r="C23" s="8">
        <f>GPRIZNPF!K41</f>
        <v>0</v>
      </c>
      <c r="D23" s="8">
        <v>0</v>
      </c>
      <c r="E23" s="8">
        <v>0</v>
      </c>
      <c r="F23" s="7">
        <f t="shared" si="0"/>
        <v>0</v>
      </c>
      <c r="G23" s="6" t="str">
        <f>IF(ISERROR(RefStr!D49),"-",LOWER(TRIM(RefStr!D49)))</f>
        <v>ivana.irissavjetovanje@gmail.com</v>
      </c>
      <c r="I23" s="11" t="s">
        <v>283</v>
      </c>
      <c r="J23" s="8">
        <f t="shared" si="1"/>
        <v>0</v>
      </c>
    </row>
    <row r="24" spans="1:10" ht="12.75">
      <c r="A24" s="5">
        <f>GPRIZNPF!I42</f>
        <v>23</v>
      </c>
      <c r="B24" s="8">
        <f>GPRIZNPF!J42</f>
        <v>0</v>
      </c>
      <c r="C24" s="8">
        <f>GPRIZNPF!K42</f>
        <v>0</v>
      </c>
      <c r="D24" s="8">
        <v>0</v>
      </c>
      <c r="E24" s="8">
        <v>0</v>
      </c>
      <c r="F24" s="7">
        <f t="shared" si="0"/>
        <v>0</v>
      </c>
      <c r="I24" s="11" t="s">
        <v>284</v>
      </c>
      <c r="J24" s="8">
        <f t="shared" si="1"/>
        <v>0</v>
      </c>
    </row>
    <row r="25" spans="1:10" ht="12.75">
      <c r="A25" s="5">
        <f>GPRIZNPF!I43</f>
        <v>24</v>
      </c>
      <c r="B25" s="8">
        <f>GPRIZNPF!J43</f>
        <v>0</v>
      </c>
      <c r="C25" s="8">
        <f>GPRIZNPF!K43</f>
        <v>0</v>
      </c>
      <c r="D25" s="8">
        <v>0</v>
      </c>
      <c r="E25" s="8">
        <v>0</v>
      </c>
      <c r="F25" s="7">
        <f t="shared" si="0"/>
        <v>0</v>
      </c>
      <c r="I25" s="11" t="s">
        <v>285</v>
      </c>
      <c r="J25" s="8">
        <f t="shared" si="1"/>
        <v>0</v>
      </c>
    </row>
    <row r="26" spans="1:10" ht="12.75">
      <c r="A26" s="5">
        <f>GPRIZNPF!I44</f>
        <v>25</v>
      </c>
      <c r="B26" s="8">
        <f>GPRIZNPF!J44</f>
        <v>0</v>
      </c>
      <c r="C26" s="8">
        <f>GPRIZNPF!K44</f>
        <v>0</v>
      </c>
      <c r="D26" s="8">
        <v>0</v>
      </c>
      <c r="E26" s="8">
        <v>0</v>
      </c>
      <c r="F26" s="7">
        <f t="shared" si="0"/>
        <v>0</v>
      </c>
      <c r="G26" s="6" t="str">
        <f>MID(TRIM(RefStr!J15),1,4)</f>
        <v>2022</v>
      </c>
      <c r="I26" s="9" t="s">
        <v>286</v>
      </c>
      <c r="J26" s="8">
        <f t="shared" si="1"/>
        <v>0</v>
      </c>
    </row>
    <row r="27" spans="1:10" ht="12.75">
      <c r="A27" s="5">
        <f>GPRIZNPF!I45</f>
        <v>26</v>
      </c>
      <c r="B27" s="8">
        <f>GPRIZNPF!J45</f>
        <v>0</v>
      </c>
      <c r="C27" s="8">
        <f>GPRIZNPF!K45</f>
        <v>0</v>
      </c>
      <c r="D27" s="8">
        <v>0</v>
      </c>
      <c r="E27" s="8">
        <v>0</v>
      </c>
      <c r="F27" s="7">
        <f t="shared" si="0"/>
        <v>0</v>
      </c>
      <c r="G27" s="234">
        <f>SUM(F2:F41)</f>
        <v>0</v>
      </c>
      <c r="I27" s="9" t="s">
        <v>2836</v>
      </c>
      <c r="J27" s="8">
        <f t="shared" si="1"/>
        <v>0</v>
      </c>
    </row>
    <row r="28" spans="1:10" ht="12.75">
      <c r="A28" s="5">
        <f>GPRIZNPF!I46</f>
        <v>27</v>
      </c>
      <c r="B28" s="8">
        <f>GPRIZNPF!J46</f>
        <v>0</v>
      </c>
      <c r="C28" s="8">
        <f>GPRIZNPF!K46</f>
        <v>0</v>
      </c>
      <c r="D28" s="8">
        <v>0</v>
      </c>
      <c r="E28" s="8">
        <v>0</v>
      </c>
      <c r="F28" s="7">
        <f t="shared" si="0"/>
        <v>0</v>
      </c>
      <c r="G28" s="6" t="s">
        <v>2848</v>
      </c>
      <c r="H28" s="14"/>
      <c r="I28" s="9" t="s">
        <v>2837</v>
      </c>
      <c r="J28" s="8">
        <f t="shared" si="1"/>
        <v>0</v>
      </c>
    </row>
    <row r="29" spans="1:10" ht="12.75">
      <c r="A29" s="5">
        <f>GPRIZNPF!I47</f>
        <v>28</v>
      </c>
      <c r="B29" s="8">
        <f>GPRIZNPF!J47</f>
        <v>0</v>
      </c>
      <c r="C29" s="8">
        <f>GPRIZNPF!K47</f>
        <v>0</v>
      </c>
      <c r="D29" s="8">
        <v>0</v>
      </c>
      <c r="E29" s="8">
        <v>0</v>
      </c>
      <c r="F29" s="7">
        <f t="shared" si="0"/>
        <v>0</v>
      </c>
      <c r="G29" s="6" t="str">
        <f>MID(TRIM(RefStr!J15),6,2)</f>
        <v>12</v>
      </c>
      <c r="I29" s="9" t="s">
        <v>2838</v>
      </c>
      <c r="J29" s="8">
        <f t="shared" si="1"/>
        <v>0</v>
      </c>
    </row>
    <row r="30" spans="1:10" ht="12.75">
      <c r="A30" s="5">
        <f>GPRIZNPF!I48</f>
        <v>29</v>
      </c>
      <c r="B30" s="8">
        <f>GPRIZNPF!J48</f>
        <v>0</v>
      </c>
      <c r="C30" s="8">
        <f>GPRIZNPF!K48</f>
        <v>0</v>
      </c>
      <c r="D30" s="8">
        <v>0</v>
      </c>
      <c r="E30" s="8">
        <v>0</v>
      </c>
      <c r="F30" s="7">
        <f t="shared" si="0"/>
        <v>0</v>
      </c>
      <c r="G30" s="6">
        <f>PraviPod707!G30</f>
        <v>603</v>
      </c>
      <c r="I30" s="9" t="s">
        <v>2839</v>
      </c>
      <c r="J30" s="8">
        <f t="shared" si="1"/>
        <v>0</v>
      </c>
    </row>
    <row r="31" spans="1:10" ht="12.75">
      <c r="A31" s="5">
        <f>GPRIZNPF!I49</f>
        <v>30</v>
      </c>
      <c r="B31" s="8">
        <f>GPRIZNPF!J49</f>
        <v>0</v>
      </c>
      <c r="C31" s="8">
        <f>GPRIZNPF!K49</f>
        <v>0</v>
      </c>
      <c r="D31" s="8">
        <v>0</v>
      </c>
      <c r="E31" s="8">
        <v>0</v>
      </c>
      <c r="F31" s="7">
        <f t="shared" si="0"/>
        <v>0</v>
      </c>
      <c r="G31" s="6">
        <v>710</v>
      </c>
      <c r="I31" s="9" t="s">
        <v>2840</v>
      </c>
      <c r="J31" s="8">
        <f t="shared" si="1"/>
        <v>0</v>
      </c>
    </row>
    <row r="32" spans="1:10" ht="12.75">
      <c r="A32" s="5">
        <f>GPRIZNPF!I51</f>
        <v>31</v>
      </c>
      <c r="B32" s="8">
        <f>GPRIZNPF!J51</f>
        <v>0</v>
      </c>
      <c r="C32" s="8">
        <f>GPRIZNPF!K51</f>
        <v>0</v>
      </c>
      <c r="D32" s="8">
        <v>0</v>
      </c>
      <c r="E32" s="8">
        <v>0</v>
      </c>
      <c r="F32" s="7">
        <f t="shared" si="0"/>
        <v>0</v>
      </c>
      <c r="G32" s="6">
        <v>0</v>
      </c>
      <c r="I32" s="9" t="s">
        <v>2841</v>
      </c>
      <c r="J32" s="8">
        <f t="shared" si="1"/>
        <v>0</v>
      </c>
    </row>
    <row r="33" spans="1:10" ht="12.75">
      <c r="A33" s="5">
        <f>GPRIZNPF!I52</f>
        <v>32</v>
      </c>
      <c r="B33" s="8">
        <f>GPRIZNPF!J52</f>
        <v>0</v>
      </c>
      <c r="C33" s="8">
        <f>GPRIZNPF!K52</f>
        <v>0</v>
      </c>
      <c r="D33" s="8">
        <v>0</v>
      </c>
      <c r="E33" s="8">
        <v>0</v>
      </c>
      <c r="F33" s="7">
        <f t="shared" si="0"/>
        <v>0</v>
      </c>
      <c r="G33" s="6">
        <v>0</v>
      </c>
      <c r="I33" s="9" t="s">
        <v>2842</v>
      </c>
      <c r="J33" s="8">
        <f t="shared" si="1"/>
        <v>0</v>
      </c>
    </row>
    <row r="34" spans="1:10" ht="12.75">
      <c r="A34" s="5">
        <f>GPRIZNPF!I53</f>
        <v>33</v>
      </c>
      <c r="B34" s="8">
        <f>GPRIZNPF!J53</f>
        <v>0</v>
      </c>
      <c r="C34" s="8">
        <f>GPRIZNPF!K53</f>
        <v>0</v>
      </c>
      <c r="D34" s="8">
        <v>0</v>
      </c>
      <c r="E34" s="8">
        <v>0</v>
      </c>
      <c r="F34" s="7">
        <f t="shared" si="0"/>
        <v>0</v>
      </c>
      <c r="G34" s="6">
        <v>0</v>
      </c>
      <c r="I34" s="9" t="s">
        <v>2843</v>
      </c>
      <c r="J34" s="8">
        <f t="shared" si="1"/>
        <v>0</v>
      </c>
    </row>
    <row r="35" spans="1:10" ht="12.75">
      <c r="A35" s="5">
        <f>GPRIZNPF!I54</f>
        <v>34</v>
      </c>
      <c r="B35" s="8">
        <f>GPRIZNPF!J54</f>
        <v>0</v>
      </c>
      <c r="C35" s="8">
        <f>GPRIZNPF!K54</f>
        <v>0</v>
      </c>
      <c r="D35" s="8">
        <v>0</v>
      </c>
      <c r="E35" s="8">
        <v>0</v>
      </c>
      <c r="F35" s="7">
        <f t="shared" si="0"/>
        <v>0</v>
      </c>
      <c r="G35" s="6">
        <v>0</v>
      </c>
      <c r="I35" s="9" t="s">
        <v>2844</v>
      </c>
      <c r="J35" s="8">
        <f t="shared" si="1"/>
        <v>0</v>
      </c>
    </row>
    <row r="36" spans="1:10" ht="12.75">
      <c r="A36" s="5">
        <f>GPRIZNPF!I55</f>
        <v>35</v>
      </c>
      <c r="B36" s="8">
        <f>GPRIZNPF!J55</f>
        <v>0</v>
      </c>
      <c r="C36" s="8">
        <f>GPRIZNPF!K55</f>
        <v>0</v>
      </c>
      <c r="D36" s="8">
        <v>0</v>
      </c>
      <c r="E36" s="8">
        <v>0</v>
      </c>
      <c r="F36" s="7">
        <f t="shared" si="0"/>
        <v>0</v>
      </c>
      <c r="G36" s="6">
        <v>0</v>
      </c>
      <c r="I36" s="9" t="s">
        <v>2845</v>
      </c>
      <c r="J36" s="8">
        <f t="shared" si="1"/>
        <v>0</v>
      </c>
    </row>
    <row r="37" spans="1:10" ht="12.75">
      <c r="A37" s="5">
        <f>GPRIZNPF!I56</f>
        <v>36</v>
      </c>
      <c r="B37" s="8">
        <f>GPRIZNPF!J56</f>
        <v>0</v>
      </c>
      <c r="C37" s="8">
        <f>GPRIZNPF!K56</f>
        <v>0</v>
      </c>
      <c r="D37" s="8">
        <v>0</v>
      </c>
      <c r="E37" s="8">
        <v>0</v>
      </c>
      <c r="F37" s="7">
        <f t="shared" si="0"/>
        <v>0</v>
      </c>
      <c r="G37" s="8">
        <f>SUM(J2:J41)</f>
        <v>0</v>
      </c>
      <c r="I37" s="9" t="s">
        <v>2846</v>
      </c>
      <c r="J37" s="8">
        <f t="shared" si="1"/>
        <v>0</v>
      </c>
    </row>
    <row r="38" spans="1:10" ht="12.75">
      <c r="A38" s="5">
        <f>GPRIZNPF!I57</f>
        <v>37</v>
      </c>
      <c r="B38" s="8">
        <f>GPRIZNPF!J57</f>
        <v>0</v>
      </c>
      <c r="C38" s="8">
        <f>GPRIZNPF!K57</f>
        <v>0</v>
      </c>
      <c r="D38" s="8">
        <v>0</v>
      </c>
      <c r="E38" s="8">
        <v>0</v>
      </c>
      <c r="F38" s="7">
        <f t="shared" si="0"/>
        <v>0</v>
      </c>
      <c r="G38" s="6" t="str">
        <f>TEXT(INT(VALUE(RefStr!J13)),"00000000000")</f>
        <v>79896958112</v>
      </c>
      <c r="I38" s="9" t="s">
        <v>2664</v>
      </c>
      <c r="J38" s="8">
        <f t="shared" si="1"/>
        <v>0</v>
      </c>
    </row>
    <row r="39" spans="1:10" ht="12.75">
      <c r="A39" s="5">
        <f>GPRIZNPF!I58</f>
        <v>38</v>
      </c>
      <c r="B39" s="8">
        <f>GPRIZNPF!J58</f>
        <v>0</v>
      </c>
      <c r="C39" s="8">
        <f>GPRIZNPF!K58</f>
        <v>0</v>
      </c>
      <c r="D39" s="8">
        <v>0</v>
      </c>
      <c r="E39" s="8">
        <v>0</v>
      </c>
      <c r="F39" s="7">
        <f t="shared" si="0"/>
        <v>0</v>
      </c>
      <c r="G39" s="6" t="str">
        <f>TEXT(INT(VALUE(RefStr!J9)),"00000")</f>
        <v>238904</v>
      </c>
      <c r="I39" s="9" t="s">
        <v>2663</v>
      </c>
      <c r="J39" s="8">
        <f t="shared" si="1"/>
        <v>0</v>
      </c>
    </row>
    <row r="40" spans="1:10" ht="12.75">
      <c r="A40" s="5">
        <f>GPRIZNPF!I59</f>
        <v>39</v>
      </c>
      <c r="B40" s="8">
        <f>GPRIZNPF!J59</f>
        <v>0</v>
      </c>
      <c r="C40" s="8">
        <f>GPRIZNPF!K59</f>
        <v>0</v>
      </c>
      <c r="D40" s="8">
        <v>0</v>
      </c>
      <c r="E40" s="8">
        <v>0</v>
      </c>
      <c r="F40" s="7">
        <f t="shared" si="0"/>
        <v>0</v>
      </c>
      <c r="G40" s="6" t="str">
        <f>RefStr!J19</f>
        <v>DA</v>
      </c>
      <c r="I40" s="9" t="s">
        <v>2057</v>
      </c>
      <c r="J40" s="8">
        <f t="shared" si="1"/>
        <v>0</v>
      </c>
    </row>
    <row r="41" spans="1:10" ht="12.75">
      <c r="A41" s="5">
        <f>GPRIZNPF!I60</f>
        <v>40</v>
      </c>
      <c r="B41" s="8">
        <f>GPRIZNPF!J60</f>
        <v>0</v>
      </c>
      <c r="C41" s="8">
        <f>GPRIZNPF!K60</f>
        <v>0</v>
      </c>
      <c r="D41" s="8">
        <v>0</v>
      </c>
      <c r="E41" s="8">
        <v>0</v>
      </c>
      <c r="F41" s="7">
        <f t="shared" si="0"/>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252074451.79</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2"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3082</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t="s">
        <v>3083</v>
      </c>
      <c r="D9" s="96" t="s">
        <v>812</v>
      </c>
      <c r="E9" s="346" t="s">
        <v>3084</v>
      </c>
      <c r="F9" s="350"/>
      <c r="G9" s="350"/>
      <c r="H9" s="351"/>
      <c r="I9" s="116" t="s">
        <v>1541</v>
      </c>
      <c r="J9" s="75" t="s">
        <v>3079</v>
      </c>
    </row>
    <row r="10" spans="2:10" ht="4.5" customHeight="1">
      <c r="B10" s="46"/>
      <c r="C10" s="46"/>
      <c r="D10" s="112"/>
      <c r="E10" s="110"/>
      <c r="F10" s="110"/>
      <c r="G10" s="110"/>
      <c r="H10" s="110"/>
      <c r="I10" s="110"/>
      <c r="J10" s="111"/>
    </row>
    <row r="11" spans="2:11" ht="15" customHeight="1">
      <c r="B11" s="96" t="s">
        <v>2705</v>
      </c>
      <c r="C11" s="346" t="s">
        <v>3085</v>
      </c>
      <c r="D11" s="347"/>
      <c r="E11" s="347"/>
      <c r="F11" s="347"/>
      <c r="G11" s="347"/>
      <c r="H11" s="349"/>
      <c r="I11" s="117" t="s">
        <v>2329</v>
      </c>
      <c r="J11" s="42" t="s">
        <v>3080</v>
      </c>
      <c r="K11" s="111"/>
    </row>
    <row r="12" spans="2:10" ht="4.5" customHeight="1">
      <c r="B12" s="46"/>
      <c r="C12" s="46"/>
      <c r="D12" s="112"/>
      <c r="E12" s="110"/>
      <c r="F12" s="110"/>
      <c r="G12" s="110"/>
      <c r="H12" s="110"/>
      <c r="I12" s="110"/>
      <c r="J12" s="111"/>
    </row>
    <row r="13" spans="2:10" ht="15" customHeight="1">
      <c r="B13" s="96" t="s">
        <v>334</v>
      </c>
      <c r="C13" s="368" t="s">
        <v>3086</v>
      </c>
      <c r="D13" s="369"/>
      <c r="E13" s="370"/>
      <c r="G13" s="3"/>
      <c r="H13" s="47"/>
      <c r="I13" s="116" t="s">
        <v>1542</v>
      </c>
      <c r="J13" s="74" t="s">
        <v>3081</v>
      </c>
    </row>
    <row r="14" spans="2:10" ht="4.5" customHeight="1">
      <c r="B14" s="46"/>
      <c r="C14" s="46"/>
      <c r="D14" s="112"/>
      <c r="E14" s="110"/>
      <c r="F14" s="110"/>
      <c r="G14" s="110"/>
      <c r="H14" s="110"/>
      <c r="I14" s="110"/>
      <c r="J14" s="111"/>
    </row>
    <row r="15" spans="2:10" ht="15" customHeight="1">
      <c r="B15" s="117" t="s">
        <v>2707</v>
      </c>
      <c r="C15" s="42" t="s">
        <v>1280</v>
      </c>
      <c r="D15" s="357" t="str">
        <f>IF(C15&lt;&gt;"",LOOKUP(C15,T23:T640,U23:U640),"")</f>
        <v>Djelatnosti ostalih članskih organizacija, d. n.</v>
      </c>
      <c r="E15" s="358"/>
      <c r="F15" s="358"/>
      <c r="G15" s="358"/>
      <c r="H15" s="358"/>
      <c r="I15" s="117" t="s">
        <v>1658</v>
      </c>
      <c r="J15" s="282" t="s">
        <v>352</v>
      </c>
    </row>
    <row r="16" spans="4:8" ht="4.5" customHeight="1">
      <c r="D16" s="3"/>
      <c r="E16" s="114"/>
      <c r="F16" s="48"/>
      <c r="G16" s="115"/>
      <c r="H16" s="3"/>
    </row>
    <row r="17" spans="2:10" ht="15" customHeight="1">
      <c r="B17" s="224" t="s">
        <v>1659</v>
      </c>
      <c r="C17" s="76">
        <v>196</v>
      </c>
      <c r="D17" s="357" t="str">
        <f>IF(C17&lt;&gt;"","Grad/općina: "&amp;LOOKUP(C17,M23:M580,N23:N580),"")</f>
        <v>Grad/općina: KNIN</v>
      </c>
      <c r="E17" s="358"/>
      <c r="F17" s="358"/>
      <c r="G17" s="358"/>
      <c r="H17" s="358"/>
      <c r="I17" s="116" t="s">
        <v>2706</v>
      </c>
      <c r="J17" s="225">
        <f>IF(RefStr!C17&lt;&gt;"",LOOKUP(RefStr!C17,M23:M580,O23:O580),"")</f>
        <v>15</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252074451.79</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716083</v>
      </c>
      <c r="J24" s="213">
        <f>BIL!K19</f>
        <v>446460</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716083</v>
      </c>
      <c r="J25" s="216">
        <f>BIL!K164</f>
        <v>446460</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3356714</v>
      </c>
      <c r="J27" s="213">
        <f>PRRAS!K19</f>
        <v>2154644</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3107736</v>
      </c>
      <c r="J28" s="215">
        <f>PRRAS!K167</f>
        <v>2136980</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266325</v>
      </c>
      <c r="J29" s="215">
        <f>PRRAS!K173</f>
        <v>157834</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3087</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3088</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3089</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3090</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t="s">
        <v>3091</v>
      </c>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3092</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66" activePane="bottomLeft" state="frozen"/>
      <selection pane="topLeft" activeCell="A1" sqref="A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2373</v>
      </c>
      <c r="L3" s="441"/>
    </row>
    <row r="4" spans="2:12" ht="30" customHeight="1">
      <c r="B4" s="433" t="s">
        <v>2058</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01.01.2022. do 31.12.2022.</v>
      </c>
      <c r="C6" s="436"/>
      <c r="D6" s="436"/>
      <c r="E6" s="436"/>
      <c r="F6" s="436"/>
      <c r="G6" s="436"/>
      <c r="H6" s="436"/>
      <c r="I6" s="436"/>
      <c r="J6" s="436"/>
      <c r="K6" s="436"/>
      <c r="L6" s="436"/>
      <c r="P6" s="264" t="s">
        <v>1519</v>
      </c>
    </row>
    <row r="7" spans="2:16" s="118" customFormat="1" ht="18" customHeight="1" thickBot="1">
      <c r="B7" s="416" t="s">
        <v>2704</v>
      </c>
      <c r="C7" s="442"/>
      <c r="D7" s="443" t="str">
        <f>IF(RefStr!N4=1,IF(RefStr!C7&lt;&gt;"",RefStr!C7,""),"")</f>
        <v>UDRUGA ŽENE KOSOVSKE DOLINE</v>
      </c>
      <c r="E7" s="444"/>
      <c r="F7" s="444"/>
      <c r="G7" s="444"/>
      <c r="H7" s="444"/>
      <c r="I7" s="444"/>
      <c r="J7" s="444"/>
      <c r="K7" s="444"/>
      <c r="L7" s="444"/>
      <c r="P7" s="27" t="s">
        <v>391</v>
      </c>
    </row>
    <row r="8" spans="2:12" s="118" customFormat="1" ht="18" customHeight="1" thickBot="1">
      <c r="B8" s="416" t="s">
        <v>809</v>
      </c>
      <c r="C8" s="416"/>
      <c r="D8" s="231" t="str">
        <f>IF(RefStr!N4=1,IF(RefStr!C9&lt;&gt;"",RefStr!C9,""),"")</f>
        <v>22300</v>
      </c>
      <c r="E8" s="121"/>
      <c r="F8" s="128" t="s">
        <v>812</v>
      </c>
      <c r="G8" s="423" t="str">
        <f>IF(RefStr!N4=1,IF(RefStr!E9&lt;&gt;"",RefStr!E9,""),"")</f>
        <v>RIĐANE, 22300 KNIN</v>
      </c>
      <c r="H8" s="424"/>
      <c r="I8" s="424"/>
      <c r="J8" s="424"/>
      <c r="K8" s="424"/>
      <c r="L8" s="424"/>
    </row>
    <row r="9" spans="2:12" s="118" customFormat="1" ht="18" customHeight="1" thickBot="1">
      <c r="B9" s="416" t="s">
        <v>2705</v>
      </c>
      <c r="C9" s="416"/>
      <c r="D9" s="423" t="str">
        <f>IF(RefStr!N4=1,IF(RefStr!C11&lt;&gt;"",RefStr!C11,""),"")</f>
        <v>RIĐANE CENTAR 84</v>
      </c>
      <c r="E9" s="423"/>
      <c r="F9" s="423"/>
      <c r="G9" s="423"/>
      <c r="H9" s="423"/>
      <c r="I9" s="423"/>
      <c r="J9" s="423"/>
      <c r="K9" s="423"/>
      <c r="L9" s="423"/>
    </row>
    <row r="10" spans="2:12" s="118" customFormat="1" ht="18" customHeight="1" thickBot="1">
      <c r="B10" s="416" t="s">
        <v>334</v>
      </c>
      <c r="C10" s="416" t="s">
        <v>1657</v>
      </c>
      <c r="D10" s="428" t="str">
        <f>IF(RefStr!N4=1,IF(RefStr!C13&lt;&gt;"",RefStr!C13,""),"")</f>
        <v>HR6324020061100653723</v>
      </c>
      <c r="E10" s="429"/>
      <c r="F10" s="429"/>
      <c r="G10" s="122"/>
      <c r="H10" s="122"/>
      <c r="I10" s="136"/>
      <c r="J10" s="128" t="s">
        <v>1541</v>
      </c>
      <c r="K10" s="227" t="str">
        <f>IF(RefStr!N4=1,IF(RefStr!J9&lt;&gt;"",RefStr!J9,""),"")</f>
        <v>0238904</v>
      </c>
      <c r="L10" s="136"/>
    </row>
    <row r="11" spans="2:12" s="118" customFormat="1" ht="18" customHeight="1" thickBot="1">
      <c r="B11" s="396" t="s">
        <v>2707</v>
      </c>
      <c r="C11" s="397"/>
      <c r="D11" s="120" t="str">
        <f>IF(RefStr!N4=1,IF(RefStr!C15&lt;&gt;"",RefStr!C15,""),"")</f>
        <v>9499</v>
      </c>
      <c r="E11" s="232" t="str">
        <f>IF(RefStr!D15&lt;&gt;"",RefStr!D15,"")</f>
        <v>Djelatnosti ostalih članskih organizacija, d. n.</v>
      </c>
      <c r="F11" s="123"/>
      <c r="G11" s="136"/>
      <c r="H11" s="136"/>
      <c r="I11" s="137"/>
      <c r="J11" s="208" t="s">
        <v>2329</v>
      </c>
      <c r="K11" s="226" t="str">
        <f>IF(RefStr!N4=1,IF(RefStr!J11&lt;&gt;"",RefStr!J11,""),"")</f>
        <v>04008863</v>
      </c>
      <c r="L11" s="136"/>
    </row>
    <row r="12" spans="2:12" s="118" customFormat="1" ht="18" customHeight="1" thickBot="1">
      <c r="B12" s="416" t="s">
        <v>1659</v>
      </c>
      <c r="C12" s="397"/>
      <c r="D12" s="124">
        <f>IF(RefStr!N4=1,IF(RefStr!C17&lt;&gt;"",RefStr!C17,""),"")</f>
        <v>196</v>
      </c>
      <c r="E12" s="233" t="str">
        <f>IF(RefStr!D17&lt;&gt;"",RefStr!D17,"")</f>
        <v>Grad/općina: KNIN</v>
      </c>
      <c r="F12" s="125"/>
      <c r="G12" s="122"/>
      <c r="H12" s="122"/>
      <c r="I12" s="126"/>
      <c r="J12" s="208" t="s">
        <v>1542</v>
      </c>
      <c r="K12" s="417" t="str">
        <f>IF(RefStr!N4=1,IF(RefStr!J13&lt;&gt;"",RefStr!J13,""),"")</f>
        <v>79896958112</v>
      </c>
      <c r="L12" s="418"/>
    </row>
    <row r="13" spans="2:12" s="118" customFormat="1" ht="18" customHeight="1" thickBot="1">
      <c r="B13" s="136"/>
      <c r="C13" s="127"/>
      <c r="D13" s="262"/>
      <c r="E13" s="263"/>
      <c r="F13" s="263"/>
      <c r="G13" s="263"/>
      <c r="H13" s="263"/>
      <c r="I13" s="396" t="s">
        <v>1658</v>
      </c>
      <c r="J13" s="397"/>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15</v>
      </c>
      <c r="L14" s="129"/>
    </row>
    <row r="15" spans="2:12"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row>
    <row r="16" spans="2:12" ht="45">
      <c r="B16" s="90" t="s">
        <v>2747</v>
      </c>
      <c r="C16" s="393" t="s">
        <v>811</v>
      </c>
      <c r="D16" s="393"/>
      <c r="E16" s="393"/>
      <c r="F16" s="393"/>
      <c r="G16" s="394"/>
      <c r="H16" s="394"/>
      <c r="I16" s="86" t="s">
        <v>810</v>
      </c>
      <c r="J16" s="87" t="s">
        <v>2710</v>
      </c>
      <c r="K16" s="88" t="s">
        <v>2925</v>
      </c>
      <c r="L16" s="89" t="s">
        <v>2239</v>
      </c>
    </row>
    <row r="17" spans="2:12" ht="12.75">
      <c r="B17" s="72">
        <v>1</v>
      </c>
      <c r="C17" s="401">
        <v>2</v>
      </c>
      <c r="D17" s="402"/>
      <c r="E17" s="402"/>
      <c r="F17" s="402"/>
      <c r="G17" s="402"/>
      <c r="H17" s="402"/>
      <c r="I17" s="73">
        <v>3</v>
      </c>
      <c r="J17" s="73">
        <v>4</v>
      </c>
      <c r="K17" s="72">
        <v>5</v>
      </c>
      <c r="L17" s="72">
        <v>6</v>
      </c>
    </row>
    <row r="18" spans="2:12" ht="12.75">
      <c r="B18" s="379" t="s">
        <v>653</v>
      </c>
      <c r="C18" s="380"/>
      <c r="D18" s="380"/>
      <c r="E18" s="380"/>
      <c r="F18" s="380"/>
      <c r="G18" s="380"/>
      <c r="H18" s="380"/>
      <c r="I18" s="380"/>
      <c r="J18" s="380"/>
      <c r="K18" s="380"/>
      <c r="L18" s="381"/>
    </row>
    <row r="19" spans="2:12" ht="12.75" customHeight="1">
      <c r="B19" s="283">
        <v>3</v>
      </c>
      <c r="C19" s="390" t="s">
        <v>896</v>
      </c>
      <c r="D19" s="391"/>
      <c r="E19" s="391"/>
      <c r="F19" s="391"/>
      <c r="G19" s="391"/>
      <c r="H19" s="392"/>
      <c r="I19" s="140">
        <v>1</v>
      </c>
      <c r="J19" s="272">
        <f>J20+J23+J26+J29+J42+J58+J67</f>
        <v>3356714</v>
      </c>
      <c r="K19" s="272">
        <f>K20+K23+K26+K29+K42+K58+K67</f>
        <v>2154644</v>
      </c>
      <c r="L19" s="78">
        <f aca="true" t="shared" si="0" ref="L19:L50">IF(J19&gt;0,IF(K19/J19&gt;=100,"&gt;&gt;100",K19/J19*100),"-")</f>
        <v>64.18908492055027</v>
      </c>
    </row>
    <row r="20" spans="2:12" ht="12.75">
      <c r="B20" s="284">
        <v>31</v>
      </c>
      <c r="C20" s="389" t="s">
        <v>2929</v>
      </c>
      <c r="D20" s="389"/>
      <c r="E20" s="389"/>
      <c r="F20" s="389"/>
      <c r="G20" s="389"/>
      <c r="H20" s="389"/>
      <c r="I20" s="142">
        <v>2</v>
      </c>
      <c r="J20" s="273">
        <f>J21+J22</f>
        <v>0</v>
      </c>
      <c r="K20" s="273">
        <f>K21+K22</f>
        <v>0</v>
      </c>
      <c r="L20" s="79" t="str">
        <f t="shared" si="0"/>
        <v>-</v>
      </c>
    </row>
    <row r="21" spans="2:12" ht="12.75">
      <c r="B21" s="284">
        <v>3111</v>
      </c>
      <c r="C21" s="389" t="s">
        <v>324</v>
      </c>
      <c r="D21" s="389"/>
      <c r="E21" s="389"/>
      <c r="F21" s="389"/>
      <c r="G21" s="389"/>
      <c r="H21" s="389"/>
      <c r="I21" s="142">
        <v>3</v>
      </c>
      <c r="J21" s="80">
        <v>0</v>
      </c>
      <c r="K21" s="80">
        <v>0</v>
      </c>
      <c r="L21" s="79" t="str">
        <f t="shared" si="0"/>
        <v>-</v>
      </c>
    </row>
    <row r="22" spans="2:12" ht="12.75">
      <c r="B22" s="284">
        <v>3112</v>
      </c>
      <c r="C22" s="389" t="s">
        <v>325</v>
      </c>
      <c r="D22" s="389"/>
      <c r="E22" s="389"/>
      <c r="F22" s="389"/>
      <c r="G22" s="389"/>
      <c r="H22" s="389"/>
      <c r="I22" s="142">
        <v>4</v>
      </c>
      <c r="J22" s="80">
        <v>0</v>
      </c>
      <c r="K22" s="80">
        <v>0</v>
      </c>
      <c r="L22" s="79" t="str">
        <f t="shared" si="0"/>
        <v>-</v>
      </c>
    </row>
    <row r="23" spans="2:12" ht="12.75">
      <c r="B23" s="284">
        <v>32</v>
      </c>
      <c r="C23" s="389" t="s">
        <v>2930</v>
      </c>
      <c r="D23" s="389"/>
      <c r="E23" s="389"/>
      <c r="F23" s="389"/>
      <c r="G23" s="389"/>
      <c r="H23" s="389"/>
      <c r="I23" s="142">
        <v>5</v>
      </c>
      <c r="J23" s="273">
        <f>J24+J25</f>
        <v>700</v>
      </c>
      <c r="K23" s="273">
        <f>K24+K25</f>
        <v>0</v>
      </c>
      <c r="L23" s="79">
        <f t="shared" si="0"/>
        <v>0</v>
      </c>
    </row>
    <row r="24" spans="2:12" ht="12.75">
      <c r="B24" s="284">
        <v>3211</v>
      </c>
      <c r="C24" s="389" t="s">
        <v>342</v>
      </c>
      <c r="D24" s="389"/>
      <c r="E24" s="389"/>
      <c r="F24" s="389"/>
      <c r="G24" s="389"/>
      <c r="H24" s="389"/>
      <c r="I24" s="142">
        <v>6</v>
      </c>
      <c r="J24" s="80">
        <v>700</v>
      </c>
      <c r="K24" s="80">
        <v>0</v>
      </c>
      <c r="L24" s="79">
        <f t="shared" si="0"/>
        <v>0</v>
      </c>
    </row>
    <row r="25" spans="2:12" ht="12.75">
      <c r="B25" s="284">
        <v>3212</v>
      </c>
      <c r="C25" s="389" t="s">
        <v>326</v>
      </c>
      <c r="D25" s="389"/>
      <c r="E25" s="389"/>
      <c r="F25" s="389"/>
      <c r="G25" s="389"/>
      <c r="H25" s="389"/>
      <c r="I25" s="142">
        <v>7</v>
      </c>
      <c r="J25" s="80">
        <v>0</v>
      </c>
      <c r="K25" s="80">
        <v>0</v>
      </c>
      <c r="L25" s="79" t="str">
        <f t="shared" si="0"/>
        <v>-</v>
      </c>
    </row>
    <row r="26" spans="2:12" ht="12.75">
      <c r="B26" s="284">
        <v>33</v>
      </c>
      <c r="C26" s="389" t="s">
        <v>2931</v>
      </c>
      <c r="D26" s="389"/>
      <c r="E26" s="389"/>
      <c r="F26" s="389"/>
      <c r="G26" s="389"/>
      <c r="H26" s="389"/>
      <c r="I26" s="142">
        <v>8</v>
      </c>
      <c r="J26" s="273">
        <f>J27+J28</f>
        <v>0</v>
      </c>
      <c r="K26" s="273">
        <f>K27+K28</f>
        <v>0</v>
      </c>
      <c r="L26" s="79" t="str">
        <f t="shared" si="0"/>
        <v>-</v>
      </c>
    </row>
    <row r="27" spans="2:12" ht="12.75">
      <c r="B27" s="284">
        <v>3311</v>
      </c>
      <c r="C27" s="389" t="s">
        <v>327</v>
      </c>
      <c r="D27" s="389"/>
      <c r="E27" s="389"/>
      <c r="F27" s="389"/>
      <c r="G27" s="389"/>
      <c r="H27" s="389"/>
      <c r="I27" s="142">
        <v>9</v>
      </c>
      <c r="J27" s="80">
        <v>0</v>
      </c>
      <c r="K27" s="80">
        <v>0</v>
      </c>
      <c r="L27" s="79" t="str">
        <f t="shared" si="0"/>
        <v>-</v>
      </c>
    </row>
    <row r="28" spans="2:12" ht="12.75">
      <c r="B28" s="284">
        <v>3312</v>
      </c>
      <c r="C28" s="389" t="s">
        <v>328</v>
      </c>
      <c r="D28" s="389"/>
      <c r="E28" s="389"/>
      <c r="F28" s="389"/>
      <c r="G28" s="389"/>
      <c r="H28" s="389"/>
      <c r="I28" s="142">
        <v>10</v>
      </c>
      <c r="J28" s="80">
        <v>0</v>
      </c>
      <c r="K28" s="80">
        <v>0</v>
      </c>
      <c r="L28" s="79" t="str">
        <f t="shared" si="0"/>
        <v>-</v>
      </c>
    </row>
    <row r="29" spans="2:12" ht="12.75">
      <c r="B29" s="284">
        <v>34</v>
      </c>
      <c r="C29" s="389" t="s">
        <v>2932</v>
      </c>
      <c r="D29" s="389"/>
      <c r="E29" s="389"/>
      <c r="F29" s="389"/>
      <c r="G29" s="389"/>
      <c r="H29" s="389"/>
      <c r="I29" s="142">
        <v>11</v>
      </c>
      <c r="J29" s="273">
        <f>J30+J39</f>
        <v>31</v>
      </c>
      <c r="K29" s="273">
        <f>K30+K39</f>
        <v>61</v>
      </c>
      <c r="L29" s="79">
        <f t="shared" si="0"/>
        <v>196.7741935483871</v>
      </c>
    </row>
    <row r="30" spans="2:12" ht="12.75">
      <c r="B30" s="284">
        <v>341</v>
      </c>
      <c r="C30" s="389" t="s">
        <v>2933</v>
      </c>
      <c r="D30" s="389"/>
      <c r="E30" s="389"/>
      <c r="F30" s="389"/>
      <c r="G30" s="389"/>
      <c r="H30" s="389"/>
      <c r="I30" s="142">
        <v>12</v>
      </c>
      <c r="J30" s="273">
        <f>SUM(J31:J38)</f>
        <v>31</v>
      </c>
      <c r="K30" s="273">
        <f>SUM(K31:K38)</f>
        <v>61</v>
      </c>
      <c r="L30" s="79">
        <f t="shared" si="0"/>
        <v>196.7741935483871</v>
      </c>
    </row>
    <row r="31" spans="2:12" ht="12.75">
      <c r="B31" s="284">
        <v>3411</v>
      </c>
      <c r="C31" s="389" t="s">
        <v>329</v>
      </c>
      <c r="D31" s="389"/>
      <c r="E31" s="389"/>
      <c r="F31" s="389"/>
      <c r="G31" s="389"/>
      <c r="H31" s="389"/>
      <c r="I31" s="142">
        <v>13</v>
      </c>
      <c r="J31" s="80">
        <v>0</v>
      </c>
      <c r="K31" s="80">
        <v>0</v>
      </c>
      <c r="L31" s="79" t="str">
        <f t="shared" si="0"/>
        <v>-</v>
      </c>
    </row>
    <row r="32" spans="2:12" ht="12.75">
      <c r="B32" s="284">
        <v>3412</v>
      </c>
      <c r="C32" s="389" t="s">
        <v>330</v>
      </c>
      <c r="D32" s="389"/>
      <c r="E32" s="389"/>
      <c r="F32" s="389"/>
      <c r="G32" s="389"/>
      <c r="H32" s="389"/>
      <c r="I32" s="142">
        <v>14</v>
      </c>
      <c r="J32" s="80">
        <v>0</v>
      </c>
      <c r="K32" s="80">
        <v>0</v>
      </c>
      <c r="L32" s="79" t="str">
        <f t="shared" si="0"/>
        <v>-</v>
      </c>
    </row>
    <row r="33" spans="2:12" ht="12.75">
      <c r="B33" s="284">
        <v>3413</v>
      </c>
      <c r="C33" s="389" t="s">
        <v>331</v>
      </c>
      <c r="D33" s="389"/>
      <c r="E33" s="389"/>
      <c r="F33" s="389"/>
      <c r="G33" s="389"/>
      <c r="H33" s="389"/>
      <c r="I33" s="142">
        <v>15</v>
      </c>
      <c r="J33" s="80">
        <v>3</v>
      </c>
      <c r="K33" s="80">
        <v>1</v>
      </c>
      <c r="L33" s="79">
        <f t="shared" si="0"/>
        <v>33.33333333333333</v>
      </c>
    </row>
    <row r="34" spans="2:12" ht="12.75">
      <c r="B34" s="284">
        <v>3414</v>
      </c>
      <c r="C34" s="389" t="s">
        <v>332</v>
      </c>
      <c r="D34" s="389"/>
      <c r="E34" s="389"/>
      <c r="F34" s="389"/>
      <c r="G34" s="389"/>
      <c r="H34" s="389"/>
      <c r="I34" s="142">
        <v>16</v>
      </c>
      <c r="J34" s="80">
        <v>0</v>
      </c>
      <c r="K34" s="80">
        <v>0</v>
      </c>
      <c r="L34" s="79" t="str">
        <f t="shared" si="0"/>
        <v>-</v>
      </c>
    </row>
    <row r="35" spans="2:12" ht="12.75">
      <c r="B35" s="284">
        <v>3415</v>
      </c>
      <c r="C35" s="389" t="s">
        <v>333</v>
      </c>
      <c r="D35" s="389"/>
      <c r="E35" s="389"/>
      <c r="F35" s="389"/>
      <c r="G35" s="389"/>
      <c r="H35" s="389"/>
      <c r="I35" s="142">
        <v>17</v>
      </c>
      <c r="J35" s="80">
        <v>28</v>
      </c>
      <c r="K35" s="80">
        <v>60</v>
      </c>
      <c r="L35" s="79">
        <f t="shared" si="0"/>
        <v>214.28571428571428</v>
      </c>
    </row>
    <row r="36" spans="2:12" ht="12.75">
      <c r="B36" s="284">
        <v>3416</v>
      </c>
      <c r="C36" s="389" t="s">
        <v>2647</v>
      </c>
      <c r="D36" s="389"/>
      <c r="E36" s="389"/>
      <c r="F36" s="389"/>
      <c r="G36" s="389"/>
      <c r="H36" s="389"/>
      <c r="I36" s="142">
        <v>18</v>
      </c>
      <c r="J36" s="80">
        <v>0</v>
      </c>
      <c r="K36" s="80">
        <v>0</v>
      </c>
      <c r="L36" s="79" t="str">
        <f t="shared" si="0"/>
        <v>-</v>
      </c>
    </row>
    <row r="37" spans="2:12" ht="12.75">
      <c r="B37" s="284">
        <v>3417</v>
      </c>
      <c r="C37" s="395" t="s">
        <v>2648</v>
      </c>
      <c r="D37" s="395"/>
      <c r="E37" s="395"/>
      <c r="F37" s="395"/>
      <c r="G37" s="395"/>
      <c r="H37" s="395"/>
      <c r="I37" s="142">
        <v>19</v>
      </c>
      <c r="J37" s="80">
        <v>0</v>
      </c>
      <c r="K37" s="80">
        <v>0</v>
      </c>
      <c r="L37" s="79" t="str">
        <f t="shared" si="0"/>
        <v>-</v>
      </c>
    </row>
    <row r="38" spans="2:12" ht="12.75">
      <c r="B38" s="284">
        <v>3418</v>
      </c>
      <c r="C38" s="389" t="s">
        <v>2649</v>
      </c>
      <c r="D38" s="389"/>
      <c r="E38" s="389"/>
      <c r="F38" s="389"/>
      <c r="G38" s="389"/>
      <c r="H38" s="389"/>
      <c r="I38" s="142">
        <v>20</v>
      </c>
      <c r="J38" s="80">
        <v>0</v>
      </c>
      <c r="K38" s="80">
        <v>0</v>
      </c>
      <c r="L38" s="79" t="str">
        <f t="shared" si="0"/>
        <v>-</v>
      </c>
    </row>
    <row r="39" spans="2:12" ht="12.75">
      <c r="B39" s="284">
        <v>342</v>
      </c>
      <c r="C39" s="389" t="s">
        <v>1510</v>
      </c>
      <c r="D39" s="389"/>
      <c r="E39" s="389"/>
      <c r="F39" s="389"/>
      <c r="G39" s="389"/>
      <c r="H39" s="389"/>
      <c r="I39" s="142">
        <v>21</v>
      </c>
      <c r="J39" s="273">
        <f>J40+J41</f>
        <v>0</v>
      </c>
      <c r="K39" s="273">
        <f>K40+K41</f>
        <v>0</v>
      </c>
      <c r="L39" s="79" t="str">
        <f t="shared" si="0"/>
        <v>-</v>
      </c>
    </row>
    <row r="40" spans="2:12" ht="12.75">
      <c r="B40" s="284">
        <v>3421</v>
      </c>
      <c r="C40" s="389" t="s">
        <v>2650</v>
      </c>
      <c r="D40" s="389"/>
      <c r="E40" s="389"/>
      <c r="F40" s="389"/>
      <c r="G40" s="389"/>
      <c r="H40" s="389"/>
      <c r="I40" s="142">
        <v>22</v>
      </c>
      <c r="J40" s="80">
        <v>0</v>
      </c>
      <c r="K40" s="80">
        <v>0</v>
      </c>
      <c r="L40" s="79" t="str">
        <f t="shared" si="0"/>
        <v>-</v>
      </c>
    </row>
    <row r="41" spans="2:12" ht="12.75">
      <c r="B41" s="284">
        <v>3422</v>
      </c>
      <c r="C41" s="389" t="s">
        <v>2651</v>
      </c>
      <c r="D41" s="389"/>
      <c r="E41" s="389"/>
      <c r="F41" s="389"/>
      <c r="G41" s="389"/>
      <c r="H41" s="389"/>
      <c r="I41" s="142">
        <v>23</v>
      </c>
      <c r="J41" s="80">
        <v>0</v>
      </c>
      <c r="K41" s="80">
        <v>0</v>
      </c>
      <c r="L41" s="79" t="str">
        <f t="shared" si="0"/>
        <v>-</v>
      </c>
    </row>
    <row r="42" spans="2:12" ht="12.75" customHeight="1">
      <c r="B42" s="284">
        <v>35</v>
      </c>
      <c r="C42" s="399" t="s">
        <v>897</v>
      </c>
      <c r="D42" s="384"/>
      <c r="E42" s="384"/>
      <c r="F42" s="384"/>
      <c r="G42" s="384"/>
      <c r="H42" s="385"/>
      <c r="I42" s="142">
        <v>24</v>
      </c>
      <c r="J42" s="273">
        <f>J43+J48+J51+J54+J55</f>
        <v>3355983</v>
      </c>
      <c r="K42" s="273">
        <f>K43+K48+K51+K54+K55</f>
        <v>2154583</v>
      </c>
      <c r="L42" s="79">
        <f t="shared" si="0"/>
        <v>64.20124893362093</v>
      </c>
    </row>
    <row r="43" spans="2:12" ht="12.75" customHeight="1">
      <c r="B43" s="284">
        <v>351</v>
      </c>
      <c r="C43" s="400" t="s">
        <v>889</v>
      </c>
      <c r="D43" s="400"/>
      <c r="E43" s="400"/>
      <c r="F43" s="400"/>
      <c r="G43" s="400"/>
      <c r="H43" s="400"/>
      <c r="I43" s="142">
        <v>25</v>
      </c>
      <c r="J43" s="273">
        <f>SUM(J44:J47)</f>
        <v>2934813</v>
      </c>
      <c r="K43" s="273">
        <f>SUM(K44:K47)</f>
        <v>1871567</v>
      </c>
      <c r="L43" s="79">
        <f t="shared" si="0"/>
        <v>63.77125220584753</v>
      </c>
    </row>
    <row r="44" spans="2:12" ht="12.75">
      <c r="B44" s="284">
        <v>3511</v>
      </c>
      <c r="C44" s="389" t="s">
        <v>2652</v>
      </c>
      <c r="D44" s="389"/>
      <c r="E44" s="389"/>
      <c r="F44" s="389"/>
      <c r="G44" s="389"/>
      <c r="H44" s="389"/>
      <c r="I44" s="142">
        <v>26</v>
      </c>
      <c r="J44" s="80">
        <v>2380236</v>
      </c>
      <c r="K44" s="80">
        <v>1398327</v>
      </c>
      <c r="L44" s="79">
        <f t="shared" si="0"/>
        <v>58.74740992069694</v>
      </c>
    </row>
    <row r="45" spans="2:12" ht="12.75">
      <c r="B45" s="284">
        <v>3512</v>
      </c>
      <c r="C45" s="389" t="s">
        <v>2653</v>
      </c>
      <c r="D45" s="389"/>
      <c r="E45" s="389"/>
      <c r="F45" s="389"/>
      <c r="G45" s="389"/>
      <c r="H45" s="389"/>
      <c r="I45" s="142">
        <v>27</v>
      </c>
      <c r="J45" s="80">
        <v>16426</v>
      </c>
      <c r="K45" s="80">
        <v>25320</v>
      </c>
      <c r="L45" s="79">
        <f t="shared" si="0"/>
        <v>154.1458663095093</v>
      </c>
    </row>
    <row r="46" spans="2:12" ht="12.75" customHeight="1">
      <c r="B46" s="284">
        <v>3513</v>
      </c>
      <c r="C46" s="400" t="s">
        <v>885</v>
      </c>
      <c r="D46" s="400"/>
      <c r="E46" s="400"/>
      <c r="F46" s="400"/>
      <c r="G46" s="400"/>
      <c r="H46" s="400"/>
      <c r="I46" s="142">
        <v>28</v>
      </c>
      <c r="J46" s="80">
        <v>538151</v>
      </c>
      <c r="K46" s="80">
        <v>447920</v>
      </c>
      <c r="L46" s="79">
        <f t="shared" si="0"/>
        <v>83.23314460067898</v>
      </c>
    </row>
    <row r="47" spans="2:12" ht="24.75" customHeight="1">
      <c r="B47" s="284">
        <v>3514</v>
      </c>
      <c r="C47" s="400" t="s">
        <v>886</v>
      </c>
      <c r="D47" s="400"/>
      <c r="E47" s="400"/>
      <c r="F47" s="400"/>
      <c r="G47" s="400"/>
      <c r="H47" s="400"/>
      <c r="I47" s="142">
        <v>29</v>
      </c>
      <c r="J47" s="80">
        <v>0</v>
      </c>
      <c r="K47" s="80">
        <v>0</v>
      </c>
      <c r="L47" s="79" t="str">
        <f t="shared" si="0"/>
        <v>-</v>
      </c>
    </row>
    <row r="48" spans="2:12" ht="12.75" customHeight="1">
      <c r="B48" s="284">
        <v>352</v>
      </c>
      <c r="C48" s="403" t="s">
        <v>888</v>
      </c>
      <c r="D48" s="403"/>
      <c r="E48" s="403"/>
      <c r="F48" s="403"/>
      <c r="G48" s="403"/>
      <c r="H48" s="403"/>
      <c r="I48" s="142">
        <v>30</v>
      </c>
      <c r="J48" s="273">
        <f>J49+J50</f>
        <v>153206</v>
      </c>
      <c r="K48" s="273">
        <f>K49+K50</f>
        <v>135339</v>
      </c>
      <c r="L48" s="79">
        <f t="shared" si="0"/>
        <v>88.33792410218922</v>
      </c>
    </row>
    <row r="49" spans="2:12" ht="12.75">
      <c r="B49" s="284">
        <v>3521</v>
      </c>
      <c r="C49" s="400" t="s">
        <v>1415</v>
      </c>
      <c r="D49" s="400"/>
      <c r="E49" s="400"/>
      <c r="F49" s="400"/>
      <c r="G49" s="400"/>
      <c r="H49" s="400"/>
      <c r="I49" s="142">
        <v>31</v>
      </c>
      <c r="J49" s="80">
        <v>153206</v>
      </c>
      <c r="K49" s="80">
        <v>135339</v>
      </c>
      <c r="L49" s="79">
        <f t="shared" si="0"/>
        <v>88.33792410218922</v>
      </c>
    </row>
    <row r="50" spans="2:12" ht="12.75">
      <c r="B50" s="284">
        <v>3522</v>
      </c>
      <c r="C50" s="400" t="s">
        <v>887</v>
      </c>
      <c r="D50" s="400"/>
      <c r="E50" s="400"/>
      <c r="F50" s="400"/>
      <c r="G50" s="400"/>
      <c r="H50" s="400"/>
      <c r="I50" s="142">
        <v>32</v>
      </c>
      <c r="J50" s="80">
        <v>0</v>
      </c>
      <c r="K50" s="80">
        <v>0</v>
      </c>
      <c r="L50" s="79" t="str">
        <f t="shared" si="0"/>
        <v>-</v>
      </c>
    </row>
    <row r="51" spans="2:12" ht="12.75" customHeight="1">
      <c r="B51" s="284">
        <v>353</v>
      </c>
      <c r="C51" s="400" t="s">
        <v>890</v>
      </c>
      <c r="D51" s="400"/>
      <c r="E51" s="400"/>
      <c r="F51" s="400"/>
      <c r="G51" s="400"/>
      <c r="H51" s="400"/>
      <c r="I51" s="142">
        <v>33</v>
      </c>
      <c r="J51" s="273">
        <f>J52+J53</f>
        <v>189008</v>
      </c>
      <c r="K51" s="273">
        <f>K52+K53</f>
        <v>4917</v>
      </c>
      <c r="L51" s="79">
        <f aca="true" t="shared" si="1" ref="L51:L82">IF(J51&gt;0,IF(K51/J51&gt;=100,"&gt;&gt;100",K51/J51*100),"-")</f>
        <v>2.6014771861508508</v>
      </c>
    </row>
    <row r="52" spans="2:12" ht="12.75" customHeight="1">
      <c r="B52" s="284">
        <v>3531</v>
      </c>
      <c r="C52" s="400" t="s">
        <v>288</v>
      </c>
      <c r="D52" s="400"/>
      <c r="E52" s="400"/>
      <c r="F52" s="400"/>
      <c r="G52" s="400"/>
      <c r="H52" s="400"/>
      <c r="I52" s="142">
        <v>34</v>
      </c>
      <c r="J52" s="80">
        <v>0</v>
      </c>
      <c r="K52" s="80">
        <v>4917</v>
      </c>
      <c r="L52" s="79" t="str">
        <f t="shared" si="1"/>
        <v>-</v>
      </c>
    </row>
    <row r="53" spans="2:12" ht="12.75" customHeight="1">
      <c r="B53" s="284">
        <v>3532</v>
      </c>
      <c r="C53" s="400" t="s">
        <v>891</v>
      </c>
      <c r="D53" s="400"/>
      <c r="E53" s="400"/>
      <c r="F53" s="400"/>
      <c r="G53" s="400"/>
      <c r="H53" s="400"/>
      <c r="I53" s="142">
        <v>35</v>
      </c>
      <c r="J53" s="80">
        <v>189008</v>
      </c>
      <c r="K53" s="80">
        <v>0</v>
      </c>
      <c r="L53" s="79">
        <f t="shared" si="1"/>
        <v>0</v>
      </c>
    </row>
    <row r="54" spans="2:12" ht="12.75">
      <c r="B54" s="284">
        <v>354</v>
      </c>
      <c r="C54" s="389" t="s">
        <v>289</v>
      </c>
      <c r="D54" s="389"/>
      <c r="E54" s="389"/>
      <c r="F54" s="389"/>
      <c r="G54" s="389"/>
      <c r="H54" s="389"/>
      <c r="I54" s="142">
        <v>36</v>
      </c>
      <c r="J54" s="80">
        <v>78956</v>
      </c>
      <c r="K54" s="80">
        <v>142760</v>
      </c>
      <c r="L54" s="79">
        <f t="shared" si="1"/>
        <v>180.8095648209129</v>
      </c>
    </row>
    <row r="55" spans="2:12" ht="12.75" customHeight="1">
      <c r="B55" s="284">
        <v>355</v>
      </c>
      <c r="C55" s="400" t="s">
        <v>892</v>
      </c>
      <c r="D55" s="400"/>
      <c r="E55" s="400"/>
      <c r="F55" s="400"/>
      <c r="G55" s="400"/>
      <c r="H55" s="400"/>
      <c r="I55" s="142">
        <v>37</v>
      </c>
      <c r="J55" s="273">
        <f>J56+J57</f>
        <v>0</v>
      </c>
      <c r="K55" s="273">
        <f>K56+K57</f>
        <v>0</v>
      </c>
      <c r="L55" s="79" t="str">
        <f t="shared" si="1"/>
        <v>-</v>
      </c>
    </row>
    <row r="56" spans="2:12" ht="12.75" customHeight="1">
      <c r="B56" s="284">
        <v>3551</v>
      </c>
      <c r="C56" s="400" t="s">
        <v>290</v>
      </c>
      <c r="D56" s="400"/>
      <c r="E56" s="400"/>
      <c r="F56" s="400"/>
      <c r="G56" s="400"/>
      <c r="H56" s="400"/>
      <c r="I56" s="142">
        <v>38</v>
      </c>
      <c r="J56" s="80">
        <v>0</v>
      </c>
      <c r="K56" s="80">
        <v>0</v>
      </c>
      <c r="L56" s="79" t="str">
        <f t="shared" si="1"/>
        <v>-</v>
      </c>
    </row>
    <row r="57" spans="2:12" ht="12.75" customHeight="1">
      <c r="B57" s="284">
        <v>3552</v>
      </c>
      <c r="C57" s="400" t="s">
        <v>893</v>
      </c>
      <c r="D57" s="400"/>
      <c r="E57" s="400"/>
      <c r="F57" s="400"/>
      <c r="G57" s="400"/>
      <c r="H57" s="400"/>
      <c r="I57" s="142">
        <v>39</v>
      </c>
      <c r="J57" s="80">
        <v>0</v>
      </c>
      <c r="K57" s="80">
        <v>0</v>
      </c>
      <c r="L57" s="79" t="str">
        <f t="shared" si="1"/>
        <v>-</v>
      </c>
    </row>
    <row r="58" spans="2:12" ht="12.75" customHeight="1">
      <c r="B58" s="284">
        <v>36</v>
      </c>
      <c r="C58" s="399" t="s">
        <v>898</v>
      </c>
      <c r="D58" s="384"/>
      <c r="E58" s="384"/>
      <c r="F58" s="384"/>
      <c r="G58" s="384"/>
      <c r="H58" s="385"/>
      <c r="I58" s="142">
        <v>40</v>
      </c>
      <c r="J58" s="273">
        <f>J59+J62+J63</f>
        <v>0</v>
      </c>
      <c r="K58" s="273">
        <f>K59+K62+K63</f>
        <v>0</v>
      </c>
      <c r="L58" s="79" t="str">
        <f t="shared" si="1"/>
        <v>-</v>
      </c>
    </row>
    <row r="59" spans="2:12" ht="12.75" customHeight="1">
      <c r="B59" s="284">
        <v>361</v>
      </c>
      <c r="C59" s="399" t="s">
        <v>899</v>
      </c>
      <c r="D59" s="384"/>
      <c r="E59" s="384"/>
      <c r="F59" s="384"/>
      <c r="G59" s="384"/>
      <c r="H59" s="385"/>
      <c r="I59" s="142">
        <v>41</v>
      </c>
      <c r="J59" s="273">
        <f>J60+J61</f>
        <v>0</v>
      </c>
      <c r="K59" s="273">
        <f>K60+K61</f>
        <v>0</v>
      </c>
      <c r="L59" s="79" t="str">
        <f t="shared" si="1"/>
        <v>-</v>
      </c>
    </row>
    <row r="60" spans="2:12" ht="12.75">
      <c r="B60" s="284">
        <v>3611</v>
      </c>
      <c r="C60" s="389" t="s">
        <v>2654</v>
      </c>
      <c r="D60" s="389"/>
      <c r="E60" s="389"/>
      <c r="F60" s="389"/>
      <c r="G60" s="389"/>
      <c r="H60" s="389"/>
      <c r="I60" s="142">
        <v>42</v>
      </c>
      <c r="J60" s="80">
        <v>0</v>
      </c>
      <c r="K60" s="80">
        <v>0</v>
      </c>
      <c r="L60" s="79" t="str">
        <f t="shared" si="1"/>
        <v>-</v>
      </c>
    </row>
    <row r="61" spans="2:12" ht="12.75">
      <c r="B61" s="284">
        <v>3612</v>
      </c>
      <c r="C61" s="389" t="s">
        <v>2655</v>
      </c>
      <c r="D61" s="389"/>
      <c r="E61" s="389"/>
      <c r="F61" s="389"/>
      <c r="G61" s="389"/>
      <c r="H61" s="389"/>
      <c r="I61" s="142">
        <v>43</v>
      </c>
      <c r="J61" s="80">
        <v>0</v>
      </c>
      <c r="K61" s="80">
        <v>0</v>
      </c>
      <c r="L61" s="79" t="str">
        <f t="shared" si="1"/>
        <v>-</v>
      </c>
    </row>
    <row r="62" spans="2:12" ht="12.75">
      <c r="B62" s="284">
        <v>362</v>
      </c>
      <c r="C62" s="389" t="s">
        <v>291</v>
      </c>
      <c r="D62" s="389"/>
      <c r="E62" s="389"/>
      <c r="F62" s="389"/>
      <c r="G62" s="389"/>
      <c r="H62" s="389"/>
      <c r="I62" s="142">
        <v>44</v>
      </c>
      <c r="J62" s="80">
        <v>0</v>
      </c>
      <c r="K62" s="80">
        <v>0</v>
      </c>
      <c r="L62" s="79" t="str">
        <f t="shared" si="1"/>
        <v>-</v>
      </c>
    </row>
    <row r="63" spans="2:12" ht="12.75" customHeight="1">
      <c r="B63" s="284">
        <v>363</v>
      </c>
      <c r="C63" s="399" t="s">
        <v>900</v>
      </c>
      <c r="D63" s="384"/>
      <c r="E63" s="384"/>
      <c r="F63" s="384"/>
      <c r="G63" s="384"/>
      <c r="H63" s="385"/>
      <c r="I63" s="142">
        <v>45</v>
      </c>
      <c r="J63" s="273">
        <f>SUM(J64:J66)</f>
        <v>0</v>
      </c>
      <c r="K63" s="273">
        <f>SUM(K64:K66)</f>
        <v>0</v>
      </c>
      <c r="L63" s="79" t="str">
        <f t="shared" si="1"/>
        <v>-</v>
      </c>
    </row>
    <row r="64" spans="2:12" ht="12.75">
      <c r="B64" s="284">
        <v>3631</v>
      </c>
      <c r="C64" s="389" t="s">
        <v>2656</v>
      </c>
      <c r="D64" s="389"/>
      <c r="E64" s="389"/>
      <c r="F64" s="389"/>
      <c r="G64" s="389"/>
      <c r="H64" s="389"/>
      <c r="I64" s="142">
        <v>46</v>
      </c>
      <c r="J64" s="80">
        <v>0</v>
      </c>
      <c r="K64" s="80">
        <v>0</v>
      </c>
      <c r="L64" s="79" t="str">
        <f t="shared" si="1"/>
        <v>-</v>
      </c>
    </row>
    <row r="65" spans="2:12" ht="12.75">
      <c r="B65" s="284">
        <v>3632</v>
      </c>
      <c r="C65" s="389" t="s">
        <v>2164</v>
      </c>
      <c r="D65" s="389"/>
      <c r="E65" s="389"/>
      <c r="F65" s="389"/>
      <c r="G65" s="389"/>
      <c r="H65" s="389"/>
      <c r="I65" s="142">
        <v>47</v>
      </c>
      <c r="J65" s="80">
        <v>0</v>
      </c>
      <c r="K65" s="80">
        <v>0</v>
      </c>
      <c r="L65" s="79" t="str">
        <f t="shared" si="1"/>
        <v>-</v>
      </c>
    </row>
    <row r="66" spans="2:12" ht="12.75">
      <c r="B66" s="284">
        <v>3633</v>
      </c>
      <c r="C66" s="389" t="s">
        <v>2165</v>
      </c>
      <c r="D66" s="389"/>
      <c r="E66" s="389"/>
      <c r="F66" s="389"/>
      <c r="G66" s="389"/>
      <c r="H66" s="389"/>
      <c r="I66" s="142">
        <v>48</v>
      </c>
      <c r="J66" s="80">
        <v>0</v>
      </c>
      <c r="K66" s="80">
        <v>0</v>
      </c>
      <c r="L66" s="79" t="str">
        <f t="shared" si="1"/>
        <v>-</v>
      </c>
    </row>
    <row r="67" spans="2:12" ht="12.75" customHeight="1">
      <c r="B67" s="284">
        <v>37</v>
      </c>
      <c r="C67" s="404" t="s">
        <v>901</v>
      </c>
      <c r="D67" s="405"/>
      <c r="E67" s="405"/>
      <c r="F67" s="405"/>
      <c r="G67" s="405"/>
      <c r="H67" s="406"/>
      <c r="I67" s="142">
        <v>49</v>
      </c>
      <c r="J67" s="273">
        <f>SUM(J68:J71)</f>
        <v>0</v>
      </c>
      <c r="K67" s="273">
        <f>SUM(K68:K71)</f>
        <v>0</v>
      </c>
      <c r="L67" s="79" t="str">
        <f t="shared" si="1"/>
        <v>-</v>
      </c>
    </row>
    <row r="68" spans="2:12" ht="12.75">
      <c r="B68" s="284">
        <v>3711</v>
      </c>
      <c r="C68" s="389" t="s">
        <v>3032</v>
      </c>
      <c r="D68" s="389"/>
      <c r="E68" s="389"/>
      <c r="F68" s="389"/>
      <c r="G68" s="389"/>
      <c r="H68" s="389"/>
      <c r="I68" s="142">
        <v>50</v>
      </c>
      <c r="J68" s="80">
        <v>0</v>
      </c>
      <c r="K68" s="80">
        <v>0</v>
      </c>
      <c r="L68" s="79" t="str">
        <f t="shared" si="1"/>
        <v>-</v>
      </c>
    </row>
    <row r="69" spans="2:12" ht="12.75">
      <c r="B69" s="284">
        <v>3712</v>
      </c>
      <c r="C69" s="389" t="s">
        <v>3033</v>
      </c>
      <c r="D69" s="389"/>
      <c r="E69" s="389"/>
      <c r="F69" s="389"/>
      <c r="G69" s="389"/>
      <c r="H69" s="389"/>
      <c r="I69" s="142">
        <v>51</v>
      </c>
      <c r="J69" s="80">
        <v>0</v>
      </c>
      <c r="K69" s="80">
        <v>0</v>
      </c>
      <c r="L69" s="79" t="str">
        <f t="shared" si="1"/>
        <v>-</v>
      </c>
    </row>
    <row r="70" spans="2:12" ht="12.75" customHeight="1">
      <c r="B70" s="284">
        <v>3713</v>
      </c>
      <c r="C70" s="404" t="s">
        <v>895</v>
      </c>
      <c r="D70" s="405"/>
      <c r="E70" s="405"/>
      <c r="F70" s="405"/>
      <c r="G70" s="405"/>
      <c r="H70" s="406"/>
      <c r="I70" s="142">
        <v>52</v>
      </c>
      <c r="J70" s="80">
        <v>0</v>
      </c>
      <c r="K70" s="80">
        <v>0</v>
      </c>
      <c r="L70" s="79" t="str">
        <f t="shared" si="1"/>
        <v>-</v>
      </c>
    </row>
    <row r="71" spans="2:12" ht="12.75" customHeight="1">
      <c r="B71" s="285">
        <v>3714</v>
      </c>
      <c r="C71" s="404" t="s">
        <v>894</v>
      </c>
      <c r="D71" s="405"/>
      <c r="E71" s="405"/>
      <c r="F71" s="405"/>
      <c r="G71" s="405"/>
      <c r="H71" s="406"/>
      <c r="I71" s="142">
        <v>53</v>
      </c>
      <c r="J71" s="81">
        <v>0</v>
      </c>
      <c r="K71" s="81">
        <v>0</v>
      </c>
      <c r="L71" s="82" t="str">
        <f t="shared" si="1"/>
        <v>-</v>
      </c>
    </row>
    <row r="72" spans="2:12" ht="12.75">
      <c r="B72" s="379" t="s">
        <v>654</v>
      </c>
      <c r="C72" s="380"/>
      <c r="D72" s="380"/>
      <c r="E72" s="380"/>
      <c r="F72" s="380"/>
      <c r="G72" s="380"/>
      <c r="H72" s="380"/>
      <c r="I72" s="380"/>
      <c r="J72" s="380"/>
      <c r="K72" s="380"/>
      <c r="L72" s="381"/>
    </row>
    <row r="73" spans="2:12" ht="12.75" customHeight="1">
      <c r="B73" s="139" t="s">
        <v>2711</v>
      </c>
      <c r="C73" s="407" t="s">
        <v>902</v>
      </c>
      <c r="D73" s="407"/>
      <c r="E73" s="407"/>
      <c r="F73" s="407"/>
      <c r="G73" s="407"/>
      <c r="H73" s="408"/>
      <c r="I73" s="140">
        <v>54</v>
      </c>
      <c r="J73" s="272">
        <f>J74+J86+J127+J128+J139+J147+J158</f>
        <v>3107736</v>
      </c>
      <c r="K73" s="272">
        <f>K74+K86+K127+K128+K139+K147+K158</f>
        <v>2136980</v>
      </c>
      <c r="L73" s="78">
        <f aca="true" t="shared" si="2" ref="L73:L104">IF(J73&gt;0,IF(K73/J73&gt;=100,"&gt;&gt;100",K73/J73*100),"-")</f>
        <v>68.76324115047096</v>
      </c>
    </row>
    <row r="74" spans="2:12" ht="12.75" customHeight="1">
      <c r="B74" s="141" t="s">
        <v>2712</v>
      </c>
      <c r="C74" s="384" t="s">
        <v>903</v>
      </c>
      <c r="D74" s="384"/>
      <c r="E74" s="384"/>
      <c r="F74" s="384"/>
      <c r="G74" s="384"/>
      <c r="H74" s="385"/>
      <c r="I74" s="142">
        <v>55</v>
      </c>
      <c r="J74" s="273">
        <f>J75+J80+J81</f>
        <v>2373792</v>
      </c>
      <c r="K74" s="273">
        <f>K75+K80+K81</f>
        <v>1449968</v>
      </c>
      <c r="L74" s="79">
        <f t="shared" si="2"/>
        <v>61.082352623987276</v>
      </c>
    </row>
    <row r="75" spans="2:12" ht="12.75" customHeight="1">
      <c r="B75" s="141">
        <v>411</v>
      </c>
      <c r="C75" s="384" t="s">
        <v>904</v>
      </c>
      <c r="D75" s="384"/>
      <c r="E75" s="384"/>
      <c r="F75" s="384"/>
      <c r="G75" s="384"/>
      <c r="H75" s="385"/>
      <c r="I75" s="142">
        <v>56</v>
      </c>
      <c r="J75" s="273">
        <f>SUM(J76:J79)</f>
        <v>1934328</v>
      </c>
      <c r="K75" s="273">
        <f>SUM(K76:K79)</f>
        <v>1231732</v>
      </c>
      <c r="L75" s="79">
        <f t="shared" si="2"/>
        <v>63.67751487855213</v>
      </c>
    </row>
    <row r="76" spans="2:12" ht="12.75">
      <c r="B76" s="141">
        <v>4111</v>
      </c>
      <c r="C76" s="378" t="s">
        <v>2166</v>
      </c>
      <c r="D76" s="378"/>
      <c r="E76" s="378"/>
      <c r="F76" s="378"/>
      <c r="G76" s="378"/>
      <c r="H76" s="378"/>
      <c r="I76" s="142">
        <v>57</v>
      </c>
      <c r="J76" s="80">
        <v>1934328</v>
      </c>
      <c r="K76" s="80">
        <v>1231732</v>
      </c>
      <c r="L76" s="79">
        <f t="shared" si="2"/>
        <v>63.67751487855213</v>
      </c>
    </row>
    <row r="77" spans="2:12" ht="12.75">
      <c r="B77" s="141">
        <v>4112</v>
      </c>
      <c r="C77" s="378" t="s">
        <v>2167</v>
      </c>
      <c r="D77" s="378"/>
      <c r="E77" s="378"/>
      <c r="F77" s="378"/>
      <c r="G77" s="378"/>
      <c r="H77" s="378"/>
      <c r="I77" s="142">
        <v>58</v>
      </c>
      <c r="J77" s="80">
        <v>0</v>
      </c>
      <c r="K77" s="80">
        <v>0</v>
      </c>
      <c r="L77" s="79" t="str">
        <f t="shared" si="2"/>
        <v>-</v>
      </c>
    </row>
    <row r="78" spans="2:12" ht="12.75">
      <c r="B78" s="141">
        <v>4113</v>
      </c>
      <c r="C78" s="378" t="s">
        <v>2168</v>
      </c>
      <c r="D78" s="378"/>
      <c r="E78" s="378"/>
      <c r="F78" s="378"/>
      <c r="G78" s="378"/>
      <c r="H78" s="378"/>
      <c r="I78" s="142">
        <v>59</v>
      </c>
      <c r="J78" s="80">
        <v>0</v>
      </c>
      <c r="K78" s="80">
        <v>0</v>
      </c>
      <c r="L78" s="79" t="str">
        <f t="shared" si="2"/>
        <v>-</v>
      </c>
    </row>
    <row r="79" spans="2:12" ht="12.75">
      <c r="B79" s="141">
        <v>4114</v>
      </c>
      <c r="C79" s="378" t="s">
        <v>2169</v>
      </c>
      <c r="D79" s="378"/>
      <c r="E79" s="378"/>
      <c r="F79" s="378"/>
      <c r="G79" s="378"/>
      <c r="H79" s="378"/>
      <c r="I79" s="142">
        <v>60</v>
      </c>
      <c r="J79" s="80">
        <v>0</v>
      </c>
      <c r="K79" s="80">
        <v>0</v>
      </c>
      <c r="L79" s="79" t="str">
        <f t="shared" si="2"/>
        <v>-</v>
      </c>
    </row>
    <row r="80" spans="2:12" ht="12.75">
      <c r="B80" s="141">
        <v>412</v>
      </c>
      <c r="C80" s="378" t="s">
        <v>292</v>
      </c>
      <c r="D80" s="378"/>
      <c r="E80" s="378"/>
      <c r="F80" s="378"/>
      <c r="G80" s="378"/>
      <c r="H80" s="378"/>
      <c r="I80" s="142">
        <v>61</v>
      </c>
      <c r="J80" s="80">
        <v>120300</v>
      </c>
      <c r="K80" s="80">
        <v>15000</v>
      </c>
      <c r="L80" s="79">
        <f t="shared" si="2"/>
        <v>12.468827930174564</v>
      </c>
    </row>
    <row r="81" spans="2:12" ht="12.75" customHeight="1">
      <c r="B81" s="141">
        <v>413</v>
      </c>
      <c r="C81" s="384" t="s">
        <v>905</v>
      </c>
      <c r="D81" s="384"/>
      <c r="E81" s="384"/>
      <c r="F81" s="384"/>
      <c r="G81" s="384"/>
      <c r="H81" s="385"/>
      <c r="I81" s="142">
        <v>62</v>
      </c>
      <c r="J81" s="273">
        <f>SUM(J82:J85)</f>
        <v>319164</v>
      </c>
      <c r="K81" s="273">
        <f>SUM(K82:K85)</f>
        <v>203236</v>
      </c>
      <c r="L81" s="79">
        <f t="shared" si="2"/>
        <v>63.677607750247525</v>
      </c>
    </row>
    <row r="82" spans="2:12" ht="12.75">
      <c r="B82" s="141">
        <v>4131</v>
      </c>
      <c r="C82" s="378" t="s">
        <v>2170</v>
      </c>
      <c r="D82" s="378"/>
      <c r="E82" s="378"/>
      <c r="F82" s="378"/>
      <c r="G82" s="378"/>
      <c r="H82" s="378"/>
      <c r="I82" s="142">
        <v>63</v>
      </c>
      <c r="J82" s="80">
        <v>319164</v>
      </c>
      <c r="K82" s="80">
        <v>203236</v>
      </c>
      <c r="L82" s="79">
        <f t="shared" si="2"/>
        <v>63.677607750247525</v>
      </c>
    </row>
    <row r="83" spans="2:12" ht="12.75">
      <c r="B83" s="141">
        <v>4132</v>
      </c>
      <c r="C83" s="378" t="s">
        <v>2171</v>
      </c>
      <c r="D83" s="378"/>
      <c r="E83" s="378"/>
      <c r="F83" s="378"/>
      <c r="G83" s="378"/>
      <c r="H83" s="378"/>
      <c r="I83" s="142">
        <v>64</v>
      </c>
      <c r="J83" s="80">
        <v>0</v>
      </c>
      <c r="K83" s="80">
        <v>0</v>
      </c>
      <c r="L83" s="79" t="str">
        <f t="shared" si="2"/>
        <v>-</v>
      </c>
    </row>
    <row r="84" spans="2:12" ht="12.75">
      <c r="B84" s="141">
        <v>4133</v>
      </c>
      <c r="C84" s="378" t="s">
        <v>399</v>
      </c>
      <c r="D84" s="378"/>
      <c r="E84" s="378"/>
      <c r="F84" s="378"/>
      <c r="G84" s="378"/>
      <c r="H84" s="378"/>
      <c r="I84" s="142">
        <v>65</v>
      </c>
      <c r="J84" s="80">
        <v>0</v>
      </c>
      <c r="K84" s="80">
        <v>0</v>
      </c>
      <c r="L84" s="79" t="str">
        <f t="shared" si="2"/>
        <v>-</v>
      </c>
    </row>
    <row r="85" spans="2:12" ht="12.75">
      <c r="B85" s="141">
        <v>4134</v>
      </c>
      <c r="C85" s="378" t="s">
        <v>400</v>
      </c>
      <c r="D85" s="378"/>
      <c r="E85" s="378"/>
      <c r="F85" s="378"/>
      <c r="G85" s="378"/>
      <c r="H85" s="378"/>
      <c r="I85" s="142">
        <v>66</v>
      </c>
      <c r="J85" s="80">
        <v>0</v>
      </c>
      <c r="K85" s="80">
        <v>0</v>
      </c>
      <c r="L85" s="79" t="str">
        <f t="shared" si="2"/>
        <v>-</v>
      </c>
    </row>
    <row r="86" spans="2:12" ht="12.75" customHeight="1">
      <c r="B86" s="141">
        <v>42</v>
      </c>
      <c r="C86" s="384" t="s">
        <v>906</v>
      </c>
      <c r="D86" s="384"/>
      <c r="E86" s="384"/>
      <c r="F86" s="384"/>
      <c r="G86" s="384"/>
      <c r="H86" s="385"/>
      <c r="I86" s="142">
        <v>67</v>
      </c>
      <c r="J86" s="273">
        <f>J87+J91+J96+J101+J106+J116+J121</f>
        <v>654931</v>
      </c>
      <c r="K86" s="273">
        <f>K87+K91+K96+K101+K106+K116+K121</f>
        <v>493567</v>
      </c>
      <c r="L86" s="79">
        <f t="shared" si="2"/>
        <v>75.36167932194384</v>
      </c>
    </row>
    <row r="87" spans="2:12" ht="12.75" customHeight="1">
      <c r="B87" s="141">
        <v>421</v>
      </c>
      <c r="C87" s="384" t="s">
        <v>907</v>
      </c>
      <c r="D87" s="384"/>
      <c r="E87" s="384"/>
      <c r="F87" s="384"/>
      <c r="G87" s="384"/>
      <c r="H87" s="385"/>
      <c r="I87" s="142">
        <v>68</v>
      </c>
      <c r="J87" s="273">
        <f>SUM(J88:J90)</f>
        <v>76283</v>
      </c>
      <c r="K87" s="273">
        <f>SUM(K88:K90)</f>
        <v>80796</v>
      </c>
      <c r="L87" s="79">
        <f t="shared" si="2"/>
        <v>105.91612810193621</v>
      </c>
    </row>
    <row r="88" spans="2:12" ht="12.75">
      <c r="B88" s="141">
        <v>4211</v>
      </c>
      <c r="C88" s="378" t="s">
        <v>2713</v>
      </c>
      <c r="D88" s="378"/>
      <c r="E88" s="378"/>
      <c r="F88" s="378"/>
      <c r="G88" s="378"/>
      <c r="H88" s="378"/>
      <c r="I88" s="142">
        <v>69</v>
      </c>
      <c r="J88" s="80">
        <v>8188</v>
      </c>
      <c r="K88" s="80">
        <v>11934</v>
      </c>
      <c r="L88" s="79">
        <f t="shared" si="2"/>
        <v>145.74987787005372</v>
      </c>
    </row>
    <row r="89" spans="2:12" ht="12.75">
      <c r="B89" s="141">
        <v>4212</v>
      </c>
      <c r="C89" s="378" t="s">
        <v>639</v>
      </c>
      <c r="D89" s="378"/>
      <c r="E89" s="378"/>
      <c r="F89" s="378"/>
      <c r="G89" s="378"/>
      <c r="H89" s="378"/>
      <c r="I89" s="142">
        <v>70</v>
      </c>
      <c r="J89" s="80">
        <v>68095</v>
      </c>
      <c r="K89" s="80">
        <v>61956</v>
      </c>
      <c r="L89" s="79">
        <f t="shared" si="2"/>
        <v>90.98465379249578</v>
      </c>
    </row>
    <row r="90" spans="2:12" ht="12.75">
      <c r="B90" s="141">
        <v>4213</v>
      </c>
      <c r="C90" s="378" t="s">
        <v>293</v>
      </c>
      <c r="D90" s="378"/>
      <c r="E90" s="378"/>
      <c r="F90" s="378"/>
      <c r="G90" s="378"/>
      <c r="H90" s="378"/>
      <c r="I90" s="142">
        <v>71</v>
      </c>
      <c r="J90" s="80">
        <v>0</v>
      </c>
      <c r="K90" s="80">
        <v>6906</v>
      </c>
      <c r="L90" s="79" t="str">
        <f t="shared" si="2"/>
        <v>-</v>
      </c>
    </row>
    <row r="91" spans="2:12" ht="12.75">
      <c r="B91" s="141">
        <v>422</v>
      </c>
      <c r="C91" s="454" t="s">
        <v>908</v>
      </c>
      <c r="D91" s="455"/>
      <c r="E91" s="455"/>
      <c r="F91" s="455"/>
      <c r="G91" s="455"/>
      <c r="H91" s="456"/>
      <c r="I91" s="142">
        <v>72</v>
      </c>
      <c r="J91" s="273">
        <f>SUM(J92:J95)</f>
        <v>0</v>
      </c>
      <c r="K91" s="273">
        <f>SUM(K92:K95)</f>
        <v>0</v>
      </c>
      <c r="L91" s="79" t="str">
        <f t="shared" si="2"/>
        <v>-</v>
      </c>
    </row>
    <row r="92" spans="2:12" ht="12.75">
      <c r="B92" s="141">
        <v>4221</v>
      </c>
      <c r="C92" s="378" t="s">
        <v>294</v>
      </c>
      <c r="D92" s="378"/>
      <c r="E92" s="378"/>
      <c r="F92" s="378"/>
      <c r="G92" s="378"/>
      <c r="H92" s="378"/>
      <c r="I92" s="142">
        <v>73</v>
      </c>
      <c r="J92" s="80">
        <v>0</v>
      </c>
      <c r="K92" s="80">
        <v>0</v>
      </c>
      <c r="L92" s="79" t="str">
        <f t="shared" si="2"/>
        <v>-</v>
      </c>
    </row>
    <row r="93" spans="2:12" ht="12.75">
      <c r="B93" s="141">
        <v>4222</v>
      </c>
      <c r="C93" s="378" t="s">
        <v>295</v>
      </c>
      <c r="D93" s="378"/>
      <c r="E93" s="378"/>
      <c r="F93" s="378"/>
      <c r="G93" s="378"/>
      <c r="H93" s="378"/>
      <c r="I93" s="142">
        <v>74</v>
      </c>
      <c r="J93" s="80">
        <v>0</v>
      </c>
      <c r="K93" s="80">
        <v>0</v>
      </c>
      <c r="L93" s="79" t="str">
        <f t="shared" si="2"/>
        <v>-</v>
      </c>
    </row>
    <row r="94" spans="2:12" ht="12.75">
      <c r="B94" s="141">
        <v>4223</v>
      </c>
      <c r="C94" s="378" t="s">
        <v>296</v>
      </c>
      <c r="D94" s="378"/>
      <c r="E94" s="378"/>
      <c r="F94" s="378"/>
      <c r="G94" s="378"/>
      <c r="H94" s="378"/>
      <c r="I94" s="142">
        <v>75</v>
      </c>
      <c r="J94" s="80">
        <v>0</v>
      </c>
      <c r="K94" s="80">
        <v>0</v>
      </c>
      <c r="L94" s="79" t="str">
        <f t="shared" si="2"/>
        <v>-</v>
      </c>
    </row>
    <row r="95" spans="2:12" ht="12.75">
      <c r="B95" s="141">
        <v>4224</v>
      </c>
      <c r="C95" s="378" t="s">
        <v>297</v>
      </c>
      <c r="D95" s="378"/>
      <c r="E95" s="378"/>
      <c r="F95" s="378"/>
      <c r="G95" s="378"/>
      <c r="H95" s="378"/>
      <c r="I95" s="142">
        <v>76</v>
      </c>
      <c r="J95" s="80">
        <v>0</v>
      </c>
      <c r="K95" s="80">
        <v>0</v>
      </c>
      <c r="L95" s="79" t="str">
        <f t="shared" si="2"/>
        <v>-</v>
      </c>
    </row>
    <row r="96" spans="2:12" ht="12.75" customHeight="1">
      <c r="B96" s="141">
        <v>423</v>
      </c>
      <c r="C96" s="378" t="s">
        <v>909</v>
      </c>
      <c r="D96" s="378"/>
      <c r="E96" s="378"/>
      <c r="F96" s="378"/>
      <c r="G96" s="378"/>
      <c r="H96" s="378"/>
      <c r="I96" s="142">
        <v>77</v>
      </c>
      <c r="J96" s="273">
        <f>SUM(J97:J100)</f>
        <v>138630</v>
      </c>
      <c r="K96" s="273">
        <f>SUM(K97:K100)</f>
        <v>24432</v>
      </c>
      <c r="L96" s="79">
        <f t="shared" si="2"/>
        <v>17.62389093269855</v>
      </c>
    </row>
    <row r="97" spans="2:12" ht="12.75">
      <c r="B97" s="141">
        <v>4231</v>
      </c>
      <c r="C97" s="378" t="s">
        <v>298</v>
      </c>
      <c r="D97" s="378"/>
      <c r="E97" s="378"/>
      <c r="F97" s="378"/>
      <c r="G97" s="378"/>
      <c r="H97" s="378"/>
      <c r="I97" s="142">
        <v>78</v>
      </c>
      <c r="J97" s="80">
        <v>0</v>
      </c>
      <c r="K97" s="80">
        <v>0</v>
      </c>
      <c r="L97" s="79" t="str">
        <f t="shared" si="2"/>
        <v>-</v>
      </c>
    </row>
    <row r="98" spans="2:12" ht="12.75">
      <c r="B98" s="141">
        <v>4232</v>
      </c>
      <c r="C98" s="378" t="s">
        <v>295</v>
      </c>
      <c r="D98" s="378"/>
      <c r="E98" s="378"/>
      <c r="F98" s="378"/>
      <c r="G98" s="378"/>
      <c r="H98" s="378"/>
      <c r="I98" s="142">
        <v>79</v>
      </c>
      <c r="J98" s="80">
        <v>63630</v>
      </c>
      <c r="K98" s="80">
        <v>24432</v>
      </c>
      <c r="L98" s="79">
        <f t="shared" si="2"/>
        <v>38.396982555398395</v>
      </c>
    </row>
    <row r="99" spans="2:12" ht="12.75">
      <c r="B99" s="141">
        <v>4233</v>
      </c>
      <c r="C99" s="378" t="s">
        <v>296</v>
      </c>
      <c r="D99" s="378"/>
      <c r="E99" s="378"/>
      <c r="F99" s="378"/>
      <c r="G99" s="378"/>
      <c r="H99" s="378"/>
      <c r="I99" s="142">
        <v>80</v>
      </c>
      <c r="J99" s="80">
        <v>0</v>
      </c>
      <c r="K99" s="80">
        <v>0</v>
      </c>
      <c r="L99" s="79" t="str">
        <f t="shared" si="2"/>
        <v>-</v>
      </c>
    </row>
    <row r="100" spans="2:12" ht="12.75">
      <c r="B100" s="141">
        <v>4234</v>
      </c>
      <c r="C100" s="378" t="s">
        <v>297</v>
      </c>
      <c r="D100" s="378"/>
      <c r="E100" s="378"/>
      <c r="F100" s="378"/>
      <c r="G100" s="378"/>
      <c r="H100" s="378"/>
      <c r="I100" s="142">
        <v>81</v>
      </c>
      <c r="J100" s="80">
        <v>75000</v>
      </c>
      <c r="K100" s="80">
        <v>0</v>
      </c>
      <c r="L100" s="79">
        <f t="shared" si="2"/>
        <v>0</v>
      </c>
    </row>
    <row r="101" spans="2:12" ht="12.75" customHeight="1">
      <c r="B101" s="141">
        <v>424</v>
      </c>
      <c r="C101" s="378" t="s">
        <v>910</v>
      </c>
      <c r="D101" s="378"/>
      <c r="E101" s="378"/>
      <c r="F101" s="378"/>
      <c r="G101" s="378"/>
      <c r="H101" s="378"/>
      <c r="I101" s="142">
        <v>82</v>
      </c>
      <c r="J101" s="273">
        <f>SUM(J102:J105)</f>
        <v>0</v>
      </c>
      <c r="K101" s="273">
        <f>SUM(K102:K105)</f>
        <v>0</v>
      </c>
      <c r="L101" s="79" t="str">
        <f t="shared" si="2"/>
        <v>-</v>
      </c>
    </row>
    <row r="102" spans="2:12" ht="12.75">
      <c r="B102" s="141">
        <v>4241</v>
      </c>
      <c r="C102" s="378" t="s">
        <v>294</v>
      </c>
      <c r="D102" s="378"/>
      <c r="E102" s="378"/>
      <c r="F102" s="378"/>
      <c r="G102" s="378"/>
      <c r="H102" s="378"/>
      <c r="I102" s="142">
        <v>83</v>
      </c>
      <c r="J102" s="80">
        <v>0</v>
      </c>
      <c r="K102" s="80">
        <v>0</v>
      </c>
      <c r="L102" s="79" t="str">
        <f t="shared" si="2"/>
        <v>-</v>
      </c>
    </row>
    <row r="103" spans="2:12" ht="12.75">
      <c r="B103" s="141">
        <v>4242</v>
      </c>
      <c r="C103" s="378" t="s">
        <v>295</v>
      </c>
      <c r="D103" s="378"/>
      <c r="E103" s="378"/>
      <c r="F103" s="378"/>
      <c r="G103" s="378"/>
      <c r="H103" s="378"/>
      <c r="I103" s="142">
        <v>84</v>
      </c>
      <c r="J103" s="80">
        <v>0</v>
      </c>
      <c r="K103" s="80">
        <v>0</v>
      </c>
      <c r="L103" s="79" t="str">
        <f t="shared" si="2"/>
        <v>-</v>
      </c>
    </row>
    <row r="104" spans="2:12" ht="12.75">
      <c r="B104" s="141">
        <v>4243</v>
      </c>
      <c r="C104" s="378" t="s">
        <v>296</v>
      </c>
      <c r="D104" s="378"/>
      <c r="E104" s="378"/>
      <c r="F104" s="378"/>
      <c r="G104" s="378"/>
      <c r="H104" s="378"/>
      <c r="I104" s="142">
        <v>85</v>
      </c>
      <c r="J104" s="80">
        <v>0</v>
      </c>
      <c r="K104" s="80">
        <v>0</v>
      </c>
      <c r="L104" s="79" t="str">
        <f t="shared" si="2"/>
        <v>-</v>
      </c>
    </row>
    <row r="105" spans="2:12" ht="12.75">
      <c r="B105" s="141">
        <v>4244</v>
      </c>
      <c r="C105" s="378" t="s">
        <v>299</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911</v>
      </c>
      <c r="D106" s="378"/>
      <c r="E106" s="378"/>
      <c r="F106" s="378"/>
      <c r="G106" s="378"/>
      <c r="H106" s="378"/>
      <c r="I106" s="142">
        <v>87</v>
      </c>
      <c r="J106" s="273">
        <f>SUM(J107:J115)</f>
        <v>116067</v>
      </c>
      <c r="K106" s="273">
        <f>SUM(K107:K115)</f>
        <v>117466</v>
      </c>
      <c r="L106" s="79">
        <f t="shared" si="3"/>
        <v>101.20533829598422</v>
      </c>
    </row>
    <row r="107" spans="2:12" ht="12.75">
      <c r="B107" s="141">
        <v>4251</v>
      </c>
      <c r="C107" s="378" t="s">
        <v>134</v>
      </c>
      <c r="D107" s="378"/>
      <c r="E107" s="378"/>
      <c r="F107" s="378"/>
      <c r="G107" s="378"/>
      <c r="H107" s="378"/>
      <c r="I107" s="142">
        <v>88</v>
      </c>
      <c r="J107" s="80">
        <v>18030</v>
      </c>
      <c r="K107" s="80">
        <v>16206</v>
      </c>
      <c r="L107" s="79">
        <f t="shared" si="3"/>
        <v>89.88352745424292</v>
      </c>
    </row>
    <row r="108" spans="2:12" ht="12.75">
      <c r="B108" s="141">
        <v>4252</v>
      </c>
      <c r="C108" s="378" t="s">
        <v>135</v>
      </c>
      <c r="D108" s="378"/>
      <c r="E108" s="378"/>
      <c r="F108" s="378"/>
      <c r="G108" s="378"/>
      <c r="H108" s="378"/>
      <c r="I108" s="142">
        <v>89</v>
      </c>
      <c r="J108" s="80">
        <v>2500</v>
      </c>
      <c r="K108" s="80">
        <v>4253</v>
      </c>
      <c r="L108" s="79">
        <f t="shared" si="3"/>
        <v>170.12</v>
      </c>
    </row>
    <row r="109" spans="2:12" ht="12.75">
      <c r="B109" s="141">
        <v>4253</v>
      </c>
      <c r="C109" s="378" t="s">
        <v>136</v>
      </c>
      <c r="D109" s="378"/>
      <c r="E109" s="378"/>
      <c r="F109" s="378"/>
      <c r="G109" s="378"/>
      <c r="H109" s="378"/>
      <c r="I109" s="142">
        <v>90</v>
      </c>
      <c r="J109" s="80">
        <v>0</v>
      </c>
      <c r="K109" s="80">
        <v>0</v>
      </c>
      <c r="L109" s="79" t="str">
        <f t="shared" si="3"/>
        <v>-</v>
      </c>
    </row>
    <row r="110" spans="2:12" ht="12.75">
      <c r="B110" s="141">
        <v>4254</v>
      </c>
      <c r="C110" s="378" t="s">
        <v>137</v>
      </c>
      <c r="D110" s="378"/>
      <c r="E110" s="378"/>
      <c r="F110" s="378"/>
      <c r="G110" s="378"/>
      <c r="H110" s="378"/>
      <c r="I110" s="142">
        <v>91</v>
      </c>
      <c r="J110" s="80">
        <v>1432</v>
      </c>
      <c r="K110" s="80">
        <v>1432</v>
      </c>
      <c r="L110" s="79">
        <f t="shared" si="3"/>
        <v>100</v>
      </c>
    </row>
    <row r="111" spans="2:12" ht="12.75">
      <c r="B111" s="141">
        <v>4255</v>
      </c>
      <c r="C111" s="378" t="s">
        <v>138</v>
      </c>
      <c r="D111" s="378"/>
      <c r="E111" s="378"/>
      <c r="F111" s="378"/>
      <c r="G111" s="378"/>
      <c r="H111" s="378"/>
      <c r="I111" s="142">
        <v>92</v>
      </c>
      <c r="J111" s="80">
        <v>0</v>
      </c>
      <c r="K111" s="80">
        <v>775</v>
      </c>
      <c r="L111" s="79" t="str">
        <f t="shared" si="3"/>
        <v>-</v>
      </c>
    </row>
    <row r="112" spans="2:12" ht="12.75">
      <c r="B112" s="141">
        <v>4256</v>
      </c>
      <c r="C112" s="378" t="s">
        <v>1342</v>
      </c>
      <c r="D112" s="378"/>
      <c r="E112" s="378"/>
      <c r="F112" s="378"/>
      <c r="G112" s="378"/>
      <c r="H112" s="378"/>
      <c r="I112" s="142">
        <v>93</v>
      </c>
      <c r="J112" s="80">
        <v>963</v>
      </c>
      <c r="K112" s="80">
        <v>2626</v>
      </c>
      <c r="L112" s="79">
        <f t="shared" si="3"/>
        <v>272.68951194184837</v>
      </c>
    </row>
    <row r="113" spans="2:12" ht="12.75">
      <c r="B113" s="141">
        <v>4257</v>
      </c>
      <c r="C113" s="378" t="s">
        <v>339</v>
      </c>
      <c r="D113" s="378"/>
      <c r="E113" s="378"/>
      <c r="F113" s="378"/>
      <c r="G113" s="378"/>
      <c r="H113" s="378"/>
      <c r="I113" s="142">
        <v>94</v>
      </c>
      <c r="J113" s="80">
        <v>86234</v>
      </c>
      <c r="K113" s="80">
        <v>63846</v>
      </c>
      <c r="L113" s="79">
        <f t="shared" si="3"/>
        <v>74.03808242688498</v>
      </c>
    </row>
    <row r="114" spans="2:12" ht="12.75">
      <c r="B114" s="141">
        <v>4258</v>
      </c>
      <c r="C114" s="378" t="s">
        <v>1343</v>
      </c>
      <c r="D114" s="378"/>
      <c r="E114" s="378"/>
      <c r="F114" s="378"/>
      <c r="G114" s="378"/>
      <c r="H114" s="378"/>
      <c r="I114" s="142">
        <v>95</v>
      </c>
      <c r="J114" s="80">
        <v>0</v>
      </c>
      <c r="K114" s="80">
        <v>0</v>
      </c>
      <c r="L114" s="79" t="str">
        <f t="shared" si="3"/>
        <v>-</v>
      </c>
    </row>
    <row r="115" spans="2:12" ht="12.75">
      <c r="B115" s="141">
        <v>4259</v>
      </c>
      <c r="C115" s="378" t="s">
        <v>1344</v>
      </c>
      <c r="D115" s="378"/>
      <c r="E115" s="378"/>
      <c r="F115" s="378"/>
      <c r="G115" s="378"/>
      <c r="H115" s="378"/>
      <c r="I115" s="142">
        <v>96</v>
      </c>
      <c r="J115" s="80">
        <v>6908</v>
      </c>
      <c r="K115" s="80">
        <v>28328</v>
      </c>
      <c r="L115" s="79">
        <f t="shared" si="3"/>
        <v>410.0752750434279</v>
      </c>
    </row>
    <row r="116" spans="2:12" ht="12.75" customHeight="1">
      <c r="B116" s="141">
        <v>426</v>
      </c>
      <c r="C116" s="378" t="s">
        <v>912</v>
      </c>
      <c r="D116" s="378"/>
      <c r="E116" s="378"/>
      <c r="F116" s="378"/>
      <c r="G116" s="378"/>
      <c r="H116" s="378"/>
      <c r="I116" s="142">
        <v>97</v>
      </c>
      <c r="J116" s="273">
        <f>SUM(J117:J120)</f>
        <v>300188</v>
      </c>
      <c r="K116" s="273">
        <f>SUM(K117:K120)</f>
        <v>257844</v>
      </c>
      <c r="L116" s="79">
        <f t="shared" si="3"/>
        <v>85.89417298492944</v>
      </c>
    </row>
    <row r="117" spans="2:12" ht="12.75">
      <c r="B117" s="141">
        <v>4261</v>
      </c>
      <c r="C117" s="378" t="s">
        <v>640</v>
      </c>
      <c r="D117" s="378"/>
      <c r="E117" s="378"/>
      <c r="F117" s="378"/>
      <c r="G117" s="378"/>
      <c r="H117" s="378"/>
      <c r="I117" s="142">
        <v>98</v>
      </c>
      <c r="J117" s="80">
        <v>142863</v>
      </c>
      <c r="K117" s="80">
        <v>34067</v>
      </c>
      <c r="L117" s="79">
        <f t="shared" si="3"/>
        <v>23.845922317184996</v>
      </c>
    </row>
    <row r="118" spans="2:12" ht="12.75">
      <c r="B118" s="141">
        <v>4262</v>
      </c>
      <c r="C118" s="378" t="s">
        <v>337</v>
      </c>
      <c r="D118" s="378"/>
      <c r="E118" s="378"/>
      <c r="F118" s="378"/>
      <c r="G118" s="378"/>
      <c r="H118" s="378"/>
      <c r="I118" s="142">
        <v>99</v>
      </c>
      <c r="J118" s="80">
        <v>81797</v>
      </c>
      <c r="K118" s="80">
        <v>125627</v>
      </c>
      <c r="L118" s="79">
        <f t="shared" si="3"/>
        <v>153.58387226915414</v>
      </c>
    </row>
    <row r="119" spans="2:12" ht="12.75">
      <c r="B119" s="141">
        <v>4263</v>
      </c>
      <c r="C119" s="378" t="s">
        <v>338</v>
      </c>
      <c r="D119" s="378"/>
      <c r="E119" s="378"/>
      <c r="F119" s="378"/>
      <c r="G119" s="378"/>
      <c r="H119" s="378"/>
      <c r="I119" s="142">
        <v>100</v>
      </c>
      <c r="J119" s="80">
        <v>46950</v>
      </c>
      <c r="K119" s="80">
        <v>76351</v>
      </c>
      <c r="L119" s="79">
        <f t="shared" si="3"/>
        <v>162.62193823216188</v>
      </c>
    </row>
    <row r="120" spans="2:12" ht="12.75">
      <c r="B120" s="141">
        <v>4264</v>
      </c>
      <c r="C120" s="378" t="s">
        <v>300</v>
      </c>
      <c r="D120" s="378"/>
      <c r="E120" s="378"/>
      <c r="F120" s="378"/>
      <c r="G120" s="378"/>
      <c r="H120" s="378"/>
      <c r="I120" s="142">
        <v>101</v>
      </c>
      <c r="J120" s="80">
        <v>28578</v>
      </c>
      <c r="K120" s="80">
        <v>21799</v>
      </c>
      <c r="L120" s="79">
        <f t="shared" si="3"/>
        <v>76.27895584015675</v>
      </c>
    </row>
    <row r="121" spans="2:12" ht="12.75" customHeight="1">
      <c r="B121" s="141">
        <v>429</v>
      </c>
      <c r="C121" s="378" t="s">
        <v>913</v>
      </c>
      <c r="D121" s="378"/>
      <c r="E121" s="378"/>
      <c r="F121" s="378"/>
      <c r="G121" s="378"/>
      <c r="H121" s="378"/>
      <c r="I121" s="142">
        <v>102</v>
      </c>
      <c r="J121" s="273">
        <f>SUM(J122:J126)</f>
        <v>23763</v>
      </c>
      <c r="K121" s="273">
        <f>SUM(K122:K126)</f>
        <v>13029</v>
      </c>
      <c r="L121" s="79">
        <f t="shared" si="3"/>
        <v>54.82893574043681</v>
      </c>
    </row>
    <row r="122" spans="2:12" ht="12.75">
      <c r="B122" s="141">
        <v>4291</v>
      </c>
      <c r="C122" s="378" t="s">
        <v>340</v>
      </c>
      <c r="D122" s="378"/>
      <c r="E122" s="378"/>
      <c r="F122" s="378"/>
      <c r="G122" s="378"/>
      <c r="H122" s="378"/>
      <c r="I122" s="142">
        <v>103</v>
      </c>
      <c r="J122" s="80">
        <v>7396</v>
      </c>
      <c r="K122" s="80">
        <v>7564</v>
      </c>
      <c r="L122" s="79">
        <f t="shared" si="3"/>
        <v>102.27149810708491</v>
      </c>
    </row>
    <row r="123" spans="2:12" ht="12.75">
      <c r="B123" s="141">
        <v>4292</v>
      </c>
      <c r="C123" s="378" t="s">
        <v>341</v>
      </c>
      <c r="D123" s="378"/>
      <c r="E123" s="378"/>
      <c r="F123" s="378"/>
      <c r="G123" s="378"/>
      <c r="H123" s="378"/>
      <c r="I123" s="142">
        <v>104</v>
      </c>
      <c r="J123" s="80">
        <v>660</v>
      </c>
      <c r="K123" s="80">
        <v>1214</v>
      </c>
      <c r="L123" s="79">
        <f t="shared" si="3"/>
        <v>183.93939393939394</v>
      </c>
    </row>
    <row r="124" spans="2:12" ht="12.75">
      <c r="B124" s="141">
        <v>4293</v>
      </c>
      <c r="C124" s="378" t="s">
        <v>342</v>
      </c>
      <c r="D124" s="378"/>
      <c r="E124" s="378"/>
      <c r="F124" s="378"/>
      <c r="G124" s="378"/>
      <c r="H124" s="378"/>
      <c r="I124" s="142">
        <v>105</v>
      </c>
      <c r="J124" s="80">
        <v>160</v>
      </c>
      <c r="K124" s="80">
        <v>0</v>
      </c>
      <c r="L124" s="79">
        <f t="shared" si="3"/>
        <v>0</v>
      </c>
    </row>
    <row r="125" spans="2:12" ht="12.75">
      <c r="B125" s="141">
        <v>4294</v>
      </c>
      <c r="C125" s="378" t="s">
        <v>301</v>
      </c>
      <c r="D125" s="378"/>
      <c r="E125" s="378"/>
      <c r="F125" s="378"/>
      <c r="G125" s="378"/>
      <c r="H125" s="378"/>
      <c r="I125" s="142">
        <v>106</v>
      </c>
      <c r="J125" s="80">
        <v>0</v>
      </c>
      <c r="K125" s="80">
        <v>722</v>
      </c>
      <c r="L125" s="79" t="str">
        <f t="shared" si="3"/>
        <v>-</v>
      </c>
    </row>
    <row r="126" spans="2:12" ht="12.75">
      <c r="B126" s="141">
        <v>4295</v>
      </c>
      <c r="C126" s="378" t="s">
        <v>302</v>
      </c>
      <c r="D126" s="378"/>
      <c r="E126" s="378"/>
      <c r="F126" s="378"/>
      <c r="G126" s="378"/>
      <c r="H126" s="378"/>
      <c r="I126" s="142">
        <v>107</v>
      </c>
      <c r="J126" s="80">
        <v>15547</v>
      </c>
      <c r="K126" s="80">
        <v>3529</v>
      </c>
      <c r="L126" s="79">
        <f t="shared" si="3"/>
        <v>22.69891297356403</v>
      </c>
    </row>
    <row r="127" spans="2:12" ht="12.75">
      <c r="B127" s="141">
        <v>43</v>
      </c>
      <c r="C127" s="378" t="s">
        <v>303</v>
      </c>
      <c r="D127" s="378"/>
      <c r="E127" s="378"/>
      <c r="F127" s="378"/>
      <c r="G127" s="378"/>
      <c r="H127" s="378"/>
      <c r="I127" s="142">
        <v>108</v>
      </c>
      <c r="J127" s="80">
        <v>58288</v>
      </c>
      <c r="K127" s="80">
        <v>54759</v>
      </c>
      <c r="L127" s="79">
        <f t="shared" si="3"/>
        <v>93.94558056546802</v>
      </c>
    </row>
    <row r="128" spans="2:12" ht="12.75" customHeight="1">
      <c r="B128" s="141">
        <v>44</v>
      </c>
      <c r="C128" s="378" t="s">
        <v>914</v>
      </c>
      <c r="D128" s="378"/>
      <c r="E128" s="378"/>
      <c r="F128" s="378"/>
      <c r="G128" s="378"/>
      <c r="H128" s="378"/>
      <c r="I128" s="142">
        <v>109</v>
      </c>
      <c r="J128" s="273">
        <f>J129+J130+J134</f>
        <v>10035</v>
      </c>
      <c r="K128" s="273">
        <f>K129+K130+K134</f>
        <v>9433</v>
      </c>
      <c r="L128" s="79">
        <f t="shared" si="3"/>
        <v>94.00099651220728</v>
      </c>
    </row>
    <row r="129" spans="2:12" ht="12.75">
      <c r="B129" s="141">
        <v>441</v>
      </c>
      <c r="C129" s="378" t="s">
        <v>2890</v>
      </c>
      <c r="D129" s="378"/>
      <c r="E129" s="378"/>
      <c r="F129" s="378"/>
      <c r="G129" s="378"/>
      <c r="H129" s="378"/>
      <c r="I129" s="142">
        <v>110</v>
      </c>
      <c r="J129" s="80">
        <v>0</v>
      </c>
      <c r="K129" s="80">
        <v>0</v>
      </c>
      <c r="L129" s="79" t="str">
        <f t="shared" si="3"/>
        <v>-</v>
      </c>
    </row>
    <row r="130" spans="2:12" ht="12.75" customHeight="1">
      <c r="B130" s="141">
        <v>442</v>
      </c>
      <c r="C130" s="378" t="s">
        <v>915</v>
      </c>
      <c r="D130" s="378"/>
      <c r="E130" s="378"/>
      <c r="F130" s="378"/>
      <c r="G130" s="378"/>
      <c r="H130" s="378"/>
      <c r="I130" s="142">
        <v>111</v>
      </c>
      <c r="J130" s="273">
        <f>SUM(J131:J133)</f>
        <v>4632</v>
      </c>
      <c r="K130" s="273">
        <f>SUM(K131:K133)</f>
        <v>2787</v>
      </c>
      <c r="L130" s="79">
        <f t="shared" si="3"/>
        <v>60.168393782383426</v>
      </c>
    </row>
    <row r="131" spans="2:12" ht="12.75">
      <c r="B131" s="141">
        <v>4421</v>
      </c>
      <c r="C131" s="378" t="s">
        <v>1345</v>
      </c>
      <c r="D131" s="378"/>
      <c r="E131" s="378"/>
      <c r="F131" s="378"/>
      <c r="G131" s="378"/>
      <c r="H131" s="378"/>
      <c r="I131" s="142">
        <v>112</v>
      </c>
      <c r="J131" s="80">
        <v>4632</v>
      </c>
      <c r="K131" s="80">
        <v>2787</v>
      </c>
      <c r="L131" s="79">
        <f t="shared" si="3"/>
        <v>60.168393782383426</v>
      </c>
    </row>
    <row r="132" spans="2:12" ht="12.75">
      <c r="B132" s="141">
        <v>4422</v>
      </c>
      <c r="C132" s="378" t="s">
        <v>1346</v>
      </c>
      <c r="D132" s="378"/>
      <c r="E132" s="378"/>
      <c r="F132" s="378"/>
      <c r="G132" s="378"/>
      <c r="H132" s="378"/>
      <c r="I132" s="142">
        <v>113</v>
      </c>
      <c r="J132" s="80">
        <v>0</v>
      </c>
      <c r="K132" s="80">
        <v>0</v>
      </c>
      <c r="L132" s="79" t="str">
        <f t="shared" si="3"/>
        <v>-</v>
      </c>
    </row>
    <row r="133" spans="2:12" ht="12.75">
      <c r="B133" s="141">
        <v>4423</v>
      </c>
      <c r="C133" s="378" t="s">
        <v>1347</v>
      </c>
      <c r="D133" s="378"/>
      <c r="E133" s="378"/>
      <c r="F133" s="378"/>
      <c r="G133" s="378"/>
      <c r="H133" s="378"/>
      <c r="I133" s="142">
        <v>114</v>
      </c>
      <c r="J133" s="80">
        <v>0</v>
      </c>
      <c r="K133" s="80">
        <v>0</v>
      </c>
      <c r="L133" s="79" t="str">
        <f t="shared" si="3"/>
        <v>-</v>
      </c>
    </row>
    <row r="134" spans="2:12" ht="12.75" customHeight="1">
      <c r="B134" s="141">
        <v>443</v>
      </c>
      <c r="C134" s="378" t="s">
        <v>916</v>
      </c>
      <c r="D134" s="378"/>
      <c r="E134" s="378"/>
      <c r="F134" s="378"/>
      <c r="G134" s="378"/>
      <c r="H134" s="378"/>
      <c r="I134" s="142">
        <v>115</v>
      </c>
      <c r="J134" s="273">
        <f>SUM(J135:J138)</f>
        <v>5403</v>
      </c>
      <c r="K134" s="273">
        <f>SUM(K135:K138)</f>
        <v>6646</v>
      </c>
      <c r="L134" s="79">
        <f t="shared" si="3"/>
        <v>123.00573755321118</v>
      </c>
    </row>
    <row r="135" spans="2:12" ht="12.75">
      <c r="B135" s="141">
        <v>4431</v>
      </c>
      <c r="C135" s="378" t="s">
        <v>343</v>
      </c>
      <c r="D135" s="378"/>
      <c r="E135" s="378"/>
      <c r="F135" s="378"/>
      <c r="G135" s="378"/>
      <c r="H135" s="378"/>
      <c r="I135" s="142">
        <v>116</v>
      </c>
      <c r="J135" s="80">
        <v>4482</v>
      </c>
      <c r="K135" s="80">
        <v>5712</v>
      </c>
      <c r="L135" s="79">
        <f t="shared" si="3"/>
        <v>127.44310575635878</v>
      </c>
    </row>
    <row r="136" spans="2:12" ht="12.75">
      <c r="B136" s="141">
        <v>4432</v>
      </c>
      <c r="C136" s="378" t="s">
        <v>1348</v>
      </c>
      <c r="D136" s="378"/>
      <c r="E136" s="378"/>
      <c r="F136" s="378"/>
      <c r="G136" s="378"/>
      <c r="H136" s="378"/>
      <c r="I136" s="142">
        <v>117</v>
      </c>
      <c r="J136" s="80">
        <v>921</v>
      </c>
      <c r="K136" s="80">
        <v>908</v>
      </c>
      <c r="L136" s="79">
        <f t="shared" si="3"/>
        <v>98.58849077090119</v>
      </c>
    </row>
    <row r="137" spans="2:12" ht="12.75">
      <c r="B137" s="141">
        <v>4433</v>
      </c>
      <c r="C137" s="378" t="s">
        <v>2090</v>
      </c>
      <c r="D137" s="378"/>
      <c r="E137" s="378"/>
      <c r="F137" s="378"/>
      <c r="G137" s="378"/>
      <c r="H137" s="378"/>
      <c r="I137" s="142">
        <v>118</v>
      </c>
      <c r="J137" s="80">
        <v>0</v>
      </c>
      <c r="K137" s="80">
        <v>1</v>
      </c>
      <c r="L137" s="79" t="str">
        <f aca="true" t="shared" si="4" ref="L137:L168">IF(J137&gt;0,IF(K137/J137&gt;=100,"&gt;&gt;100",K137/J137*100),"-")</f>
        <v>-</v>
      </c>
    </row>
    <row r="138" spans="2:12" ht="12.75">
      <c r="B138" s="141">
        <v>4434</v>
      </c>
      <c r="C138" s="378" t="s">
        <v>2091</v>
      </c>
      <c r="D138" s="378"/>
      <c r="E138" s="378"/>
      <c r="F138" s="378"/>
      <c r="G138" s="378"/>
      <c r="H138" s="378"/>
      <c r="I138" s="142">
        <v>119</v>
      </c>
      <c r="J138" s="80">
        <v>0</v>
      </c>
      <c r="K138" s="80">
        <v>25</v>
      </c>
      <c r="L138" s="79" t="str">
        <f t="shared" si="4"/>
        <v>-</v>
      </c>
    </row>
    <row r="139" spans="2:12" ht="12.75" customHeight="1">
      <c r="B139" s="141">
        <v>45</v>
      </c>
      <c r="C139" s="378" t="s">
        <v>917</v>
      </c>
      <c r="D139" s="378"/>
      <c r="E139" s="378"/>
      <c r="F139" s="378"/>
      <c r="G139" s="378"/>
      <c r="H139" s="378"/>
      <c r="I139" s="142">
        <v>120</v>
      </c>
      <c r="J139" s="273">
        <f>J140+J144</f>
        <v>10000</v>
      </c>
      <c r="K139" s="273">
        <f>K140+K144</f>
        <v>129253</v>
      </c>
      <c r="L139" s="79">
        <f t="shared" si="4"/>
        <v>1292.53</v>
      </c>
    </row>
    <row r="140" spans="2:12" ht="12.75" customHeight="1">
      <c r="B140" s="141">
        <v>451</v>
      </c>
      <c r="C140" s="378" t="s">
        <v>918</v>
      </c>
      <c r="D140" s="378"/>
      <c r="E140" s="378"/>
      <c r="F140" s="378"/>
      <c r="G140" s="378"/>
      <c r="H140" s="378"/>
      <c r="I140" s="142">
        <v>121</v>
      </c>
      <c r="J140" s="273">
        <f>SUM(J141:J143)</f>
        <v>10000</v>
      </c>
      <c r="K140" s="273">
        <f>SUM(K141:K143)</f>
        <v>129253</v>
      </c>
      <c r="L140" s="79">
        <f t="shared" si="4"/>
        <v>1292.53</v>
      </c>
    </row>
    <row r="141" spans="2:12" ht="12.75">
      <c r="B141" s="141">
        <v>4511</v>
      </c>
      <c r="C141" s="378" t="s">
        <v>2092</v>
      </c>
      <c r="D141" s="378"/>
      <c r="E141" s="378"/>
      <c r="F141" s="378"/>
      <c r="G141" s="378"/>
      <c r="H141" s="378"/>
      <c r="I141" s="142">
        <v>122</v>
      </c>
      <c r="J141" s="80">
        <v>10000</v>
      </c>
      <c r="K141" s="80">
        <v>129253</v>
      </c>
      <c r="L141" s="79">
        <f t="shared" si="4"/>
        <v>1292.53</v>
      </c>
    </row>
    <row r="142" spans="2:12" ht="12.75">
      <c r="B142" s="141">
        <v>4512</v>
      </c>
      <c r="C142" s="378" t="s">
        <v>2891</v>
      </c>
      <c r="D142" s="378"/>
      <c r="E142" s="378"/>
      <c r="F142" s="378"/>
      <c r="G142" s="378"/>
      <c r="H142" s="378"/>
      <c r="I142" s="142">
        <v>123</v>
      </c>
      <c r="J142" s="80">
        <v>0</v>
      </c>
      <c r="K142" s="80">
        <v>0</v>
      </c>
      <c r="L142" s="79" t="str">
        <f t="shared" si="4"/>
        <v>-</v>
      </c>
    </row>
    <row r="143" spans="2:12" ht="12.75">
      <c r="B143" s="141">
        <v>4513</v>
      </c>
      <c r="C143" s="378" t="s">
        <v>919</v>
      </c>
      <c r="D143" s="378"/>
      <c r="E143" s="378"/>
      <c r="F143" s="378"/>
      <c r="G143" s="378"/>
      <c r="H143" s="378"/>
      <c r="I143" s="142">
        <v>124</v>
      </c>
      <c r="J143" s="80">
        <v>0</v>
      </c>
      <c r="K143" s="80">
        <v>0</v>
      </c>
      <c r="L143" s="79" t="str">
        <f t="shared" si="4"/>
        <v>-</v>
      </c>
    </row>
    <row r="144" spans="2:12" ht="12.75" customHeight="1">
      <c r="B144" s="141">
        <v>452</v>
      </c>
      <c r="C144" s="378" t="s">
        <v>921</v>
      </c>
      <c r="D144" s="378"/>
      <c r="E144" s="378"/>
      <c r="F144" s="378"/>
      <c r="G144" s="378"/>
      <c r="H144" s="378"/>
      <c r="I144" s="142">
        <v>125</v>
      </c>
      <c r="J144" s="273">
        <f>J145+J146</f>
        <v>0</v>
      </c>
      <c r="K144" s="273">
        <f>K145+K146</f>
        <v>0</v>
      </c>
      <c r="L144" s="79" t="str">
        <f t="shared" si="4"/>
        <v>-</v>
      </c>
    </row>
    <row r="145" spans="2:12" ht="12.75">
      <c r="B145" s="141">
        <v>4521</v>
      </c>
      <c r="C145" s="378" t="s">
        <v>2892</v>
      </c>
      <c r="D145" s="378"/>
      <c r="E145" s="378"/>
      <c r="F145" s="378"/>
      <c r="G145" s="378"/>
      <c r="H145" s="378"/>
      <c r="I145" s="142">
        <v>126</v>
      </c>
      <c r="J145" s="80">
        <v>0</v>
      </c>
      <c r="K145" s="80">
        <v>0</v>
      </c>
      <c r="L145" s="79" t="str">
        <f t="shared" si="4"/>
        <v>-</v>
      </c>
    </row>
    <row r="146" spans="2:12" ht="12.75">
      <c r="B146" s="141">
        <v>4522</v>
      </c>
      <c r="C146" s="378" t="s">
        <v>920</v>
      </c>
      <c r="D146" s="378"/>
      <c r="E146" s="378"/>
      <c r="F146" s="378"/>
      <c r="G146" s="378"/>
      <c r="H146" s="378"/>
      <c r="I146" s="142">
        <v>127</v>
      </c>
      <c r="J146" s="80">
        <v>0</v>
      </c>
      <c r="K146" s="80">
        <v>0</v>
      </c>
      <c r="L146" s="79" t="str">
        <f t="shared" si="4"/>
        <v>-</v>
      </c>
    </row>
    <row r="147" spans="2:12" ht="12.75" customHeight="1">
      <c r="B147" s="141">
        <v>46</v>
      </c>
      <c r="C147" s="378" t="s">
        <v>922</v>
      </c>
      <c r="D147" s="378"/>
      <c r="E147" s="378"/>
      <c r="F147" s="378"/>
      <c r="G147" s="378"/>
      <c r="H147" s="378"/>
      <c r="I147" s="142">
        <v>128</v>
      </c>
      <c r="J147" s="273">
        <f>J148+J153</f>
        <v>690</v>
      </c>
      <c r="K147" s="273">
        <f>K148+K153</f>
        <v>0</v>
      </c>
      <c r="L147" s="79">
        <f t="shared" si="4"/>
        <v>0</v>
      </c>
    </row>
    <row r="148" spans="2:12" ht="12.75" customHeight="1">
      <c r="B148" s="141">
        <v>461</v>
      </c>
      <c r="C148" s="378" t="s">
        <v>923</v>
      </c>
      <c r="D148" s="378"/>
      <c r="E148" s="378"/>
      <c r="F148" s="378"/>
      <c r="G148" s="378"/>
      <c r="H148" s="378"/>
      <c r="I148" s="142">
        <v>129</v>
      </c>
      <c r="J148" s="273">
        <f>SUM(J149:J152)</f>
        <v>0</v>
      </c>
      <c r="K148" s="273">
        <f>SUM(K149:K152)</f>
        <v>0</v>
      </c>
      <c r="L148" s="79" t="str">
        <f t="shared" si="4"/>
        <v>-</v>
      </c>
    </row>
    <row r="149" spans="2:12" ht="12.75">
      <c r="B149" s="141">
        <v>4611</v>
      </c>
      <c r="C149" s="378" t="s">
        <v>2093</v>
      </c>
      <c r="D149" s="378"/>
      <c r="E149" s="378"/>
      <c r="F149" s="378"/>
      <c r="G149" s="378"/>
      <c r="H149" s="378"/>
      <c r="I149" s="142">
        <v>130</v>
      </c>
      <c r="J149" s="80">
        <v>0</v>
      </c>
      <c r="K149" s="80">
        <v>0</v>
      </c>
      <c r="L149" s="79" t="str">
        <f t="shared" si="4"/>
        <v>-</v>
      </c>
    </row>
    <row r="150" spans="2:12" ht="12.75">
      <c r="B150" s="141">
        <v>4612</v>
      </c>
      <c r="C150" s="378" t="s">
        <v>2094</v>
      </c>
      <c r="D150" s="378"/>
      <c r="E150" s="378"/>
      <c r="F150" s="378"/>
      <c r="G150" s="378"/>
      <c r="H150" s="378"/>
      <c r="I150" s="142">
        <v>131</v>
      </c>
      <c r="J150" s="80">
        <v>0</v>
      </c>
      <c r="K150" s="80">
        <v>0</v>
      </c>
      <c r="L150" s="79" t="str">
        <f t="shared" si="4"/>
        <v>-</v>
      </c>
    </row>
    <row r="151" spans="2:12" ht="12.75">
      <c r="B151" s="141">
        <v>4613</v>
      </c>
      <c r="C151" s="378" t="s">
        <v>2893</v>
      </c>
      <c r="D151" s="378"/>
      <c r="E151" s="378"/>
      <c r="F151" s="378"/>
      <c r="G151" s="378"/>
      <c r="H151" s="378"/>
      <c r="I151" s="142">
        <v>132</v>
      </c>
      <c r="J151" s="80">
        <v>0</v>
      </c>
      <c r="K151" s="80">
        <v>0</v>
      </c>
      <c r="L151" s="79" t="str">
        <f t="shared" si="4"/>
        <v>-</v>
      </c>
    </row>
    <row r="152" spans="2:12" ht="12.75">
      <c r="B152" s="141">
        <v>4614</v>
      </c>
      <c r="C152" s="378" t="s">
        <v>2095</v>
      </c>
      <c r="D152" s="378"/>
      <c r="E152" s="378"/>
      <c r="F152" s="378"/>
      <c r="G152" s="378"/>
      <c r="H152" s="378"/>
      <c r="I152" s="142">
        <v>133</v>
      </c>
      <c r="J152" s="80">
        <v>0</v>
      </c>
      <c r="K152" s="80">
        <v>0</v>
      </c>
      <c r="L152" s="79" t="str">
        <f t="shared" si="4"/>
        <v>-</v>
      </c>
    </row>
    <row r="153" spans="2:12" ht="12.75" customHeight="1">
      <c r="B153" s="141">
        <v>462</v>
      </c>
      <c r="C153" s="378" t="s">
        <v>924</v>
      </c>
      <c r="D153" s="378"/>
      <c r="E153" s="378"/>
      <c r="F153" s="378"/>
      <c r="G153" s="378"/>
      <c r="H153" s="378"/>
      <c r="I153" s="142">
        <v>134</v>
      </c>
      <c r="J153" s="273">
        <f>SUM(J154:J157)</f>
        <v>690</v>
      </c>
      <c r="K153" s="273">
        <f>SUM(K154:K157)</f>
        <v>0</v>
      </c>
      <c r="L153" s="79">
        <f t="shared" si="4"/>
        <v>0</v>
      </c>
    </row>
    <row r="154" spans="2:12" ht="12.75">
      <c r="B154" s="141">
        <v>4621</v>
      </c>
      <c r="C154" s="378" t="s">
        <v>2096</v>
      </c>
      <c r="D154" s="378"/>
      <c r="E154" s="378"/>
      <c r="F154" s="378"/>
      <c r="G154" s="378"/>
      <c r="H154" s="378"/>
      <c r="I154" s="142">
        <v>135</v>
      </c>
      <c r="J154" s="80">
        <v>690</v>
      </c>
      <c r="K154" s="80">
        <v>0</v>
      </c>
      <c r="L154" s="79">
        <f t="shared" si="4"/>
        <v>0</v>
      </c>
    </row>
    <row r="155" spans="2:12" ht="12.75">
      <c r="B155" s="141">
        <v>4622</v>
      </c>
      <c r="C155" s="378" t="s">
        <v>2097</v>
      </c>
      <c r="D155" s="378"/>
      <c r="E155" s="378"/>
      <c r="F155" s="378"/>
      <c r="G155" s="378"/>
      <c r="H155" s="378"/>
      <c r="I155" s="142">
        <v>136</v>
      </c>
      <c r="J155" s="80">
        <v>0</v>
      </c>
      <c r="K155" s="80">
        <v>0</v>
      </c>
      <c r="L155" s="79" t="str">
        <f t="shared" si="4"/>
        <v>-</v>
      </c>
    </row>
    <row r="156" spans="2:12" ht="12.75">
      <c r="B156" s="141">
        <v>4623</v>
      </c>
      <c r="C156" s="378" t="s">
        <v>2894</v>
      </c>
      <c r="D156" s="378"/>
      <c r="E156" s="378"/>
      <c r="F156" s="378"/>
      <c r="G156" s="378"/>
      <c r="H156" s="378"/>
      <c r="I156" s="142">
        <v>137</v>
      </c>
      <c r="J156" s="80">
        <v>0</v>
      </c>
      <c r="K156" s="80">
        <v>0</v>
      </c>
      <c r="L156" s="79" t="str">
        <f t="shared" si="4"/>
        <v>-</v>
      </c>
    </row>
    <row r="157" spans="2:12" ht="12.75">
      <c r="B157" s="141">
        <v>4624</v>
      </c>
      <c r="C157" s="378" t="s">
        <v>2098</v>
      </c>
      <c r="D157" s="378"/>
      <c r="E157" s="378"/>
      <c r="F157" s="378"/>
      <c r="G157" s="378"/>
      <c r="H157" s="378"/>
      <c r="I157" s="142">
        <v>138</v>
      </c>
      <c r="J157" s="80">
        <v>0</v>
      </c>
      <c r="K157" s="80">
        <v>0</v>
      </c>
      <c r="L157" s="79" t="str">
        <f t="shared" si="4"/>
        <v>-</v>
      </c>
    </row>
    <row r="158" spans="2:12" ht="12.75" customHeight="1">
      <c r="B158" s="141">
        <v>47</v>
      </c>
      <c r="C158" s="378" t="s">
        <v>925</v>
      </c>
      <c r="D158" s="378"/>
      <c r="E158" s="378"/>
      <c r="F158" s="378"/>
      <c r="G158" s="378"/>
      <c r="H158" s="378"/>
      <c r="I158" s="142">
        <v>139</v>
      </c>
      <c r="J158" s="273">
        <f>SUM(J159:J162)</f>
        <v>0</v>
      </c>
      <c r="K158" s="273">
        <f>SUM(K159:K162)</f>
        <v>0</v>
      </c>
      <c r="L158" s="79" t="str">
        <f t="shared" si="4"/>
        <v>-</v>
      </c>
    </row>
    <row r="159" spans="2:12" ht="12.75" customHeight="1">
      <c r="B159" s="141">
        <v>4711</v>
      </c>
      <c r="C159" s="378" t="s">
        <v>2818</v>
      </c>
      <c r="D159" s="378"/>
      <c r="E159" s="378"/>
      <c r="F159" s="378"/>
      <c r="G159" s="378"/>
      <c r="H159" s="378"/>
      <c r="I159" s="142">
        <v>140</v>
      </c>
      <c r="J159" s="80">
        <v>0</v>
      </c>
      <c r="K159" s="80">
        <v>0</v>
      </c>
      <c r="L159" s="79" t="str">
        <f t="shared" si="4"/>
        <v>-</v>
      </c>
    </row>
    <row r="160" spans="2:12" ht="12.75" customHeight="1">
      <c r="B160" s="141">
        <v>4712</v>
      </c>
      <c r="C160" s="378" t="s">
        <v>2819</v>
      </c>
      <c r="D160" s="378"/>
      <c r="E160" s="378"/>
      <c r="F160" s="378"/>
      <c r="G160" s="378"/>
      <c r="H160" s="378"/>
      <c r="I160" s="142">
        <v>141</v>
      </c>
      <c r="J160" s="80">
        <v>0</v>
      </c>
      <c r="K160" s="80">
        <v>0</v>
      </c>
      <c r="L160" s="79" t="str">
        <f t="shared" si="4"/>
        <v>-</v>
      </c>
    </row>
    <row r="161" spans="2:12" ht="12.75" customHeight="1">
      <c r="B161" s="141">
        <v>4713</v>
      </c>
      <c r="C161" s="378" t="s">
        <v>190</v>
      </c>
      <c r="D161" s="378"/>
      <c r="E161" s="378"/>
      <c r="F161" s="378"/>
      <c r="G161" s="378"/>
      <c r="H161" s="378"/>
      <c r="I161" s="142">
        <v>142</v>
      </c>
      <c r="J161" s="80">
        <v>0</v>
      </c>
      <c r="K161" s="80">
        <v>0</v>
      </c>
      <c r="L161" s="79" t="str">
        <f t="shared" si="4"/>
        <v>-</v>
      </c>
    </row>
    <row r="162" spans="2:12" ht="12.75" customHeight="1">
      <c r="B162" s="141">
        <v>4714</v>
      </c>
      <c r="C162" s="378" t="s">
        <v>191</v>
      </c>
      <c r="D162" s="378"/>
      <c r="E162" s="378"/>
      <c r="F162" s="378"/>
      <c r="G162" s="378"/>
      <c r="H162" s="378"/>
      <c r="I162" s="142">
        <v>143</v>
      </c>
      <c r="J162" s="80">
        <v>0</v>
      </c>
      <c r="K162" s="80">
        <v>0</v>
      </c>
      <c r="L162" s="79" t="str">
        <f t="shared" si="4"/>
        <v>-</v>
      </c>
    </row>
    <row r="163" spans="2:12" ht="12.75">
      <c r="B163" s="141"/>
      <c r="C163" s="378" t="s">
        <v>2708</v>
      </c>
      <c r="D163" s="378"/>
      <c r="E163" s="378"/>
      <c r="F163" s="378"/>
      <c r="G163" s="378"/>
      <c r="H163" s="378"/>
      <c r="I163" s="142">
        <v>144</v>
      </c>
      <c r="J163" s="80">
        <v>0</v>
      </c>
      <c r="K163" s="80">
        <v>0</v>
      </c>
      <c r="L163" s="79" t="str">
        <f t="shared" si="4"/>
        <v>-</v>
      </c>
    </row>
    <row r="164" spans="2:12" ht="12.75">
      <c r="B164" s="141"/>
      <c r="C164" s="378" t="s">
        <v>2709</v>
      </c>
      <c r="D164" s="378"/>
      <c r="E164" s="378"/>
      <c r="F164" s="378"/>
      <c r="G164" s="378"/>
      <c r="H164" s="378"/>
      <c r="I164" s="142">
        <v>145</v>
      </c>
      <c r="J164" s="80">
        <v>0</v>
      </c>
      <c r="K164" s="80">
        <v>0</v>
      </c>
      <c r="L164" s="79" t="str">
        <f t="shared" si="4"/>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194</v>
      </c>
      <c r="D167" s="378"/>
      <c r="E167" s="378"/>
      <c r="F167" s="378"/>
      <c r="G167" s="378"/>
      <c r="H167" s="378"/>
      <c r="I167" s="142">
        <v>148</v>
      </c>
      <c r="J167" s="273">
        <f>J73-J165+J166</f>
        <v>3107736</v>
      </c>
      <c r="K167" s="273">
        <f>K73-K165+K166</f>
        <v>2136980</v>
      </c>
      <c r="L167" s="79">
        <f t="shared" si="4"/>
        <v>68.76324115047096</v>
      </c>
    </row>
    <row r="168" spans="2:12" ht="12.75" customHeight="1">
      <c r="B168" s="141"/>
      <c r="C168" s="378" t="s">
        <v>195</v>
      </c>
      <c r="D168" s="378"/>
      <c r="E168" s="378"/>
      <c r="F168" s="378"/>
      <c r="G168" s="378"/>
      <c r="H168" s="378"/>
      <c r="I168" s="142">
        <v>149</v>
      </c>
      <c r="J168" s="273">
        <f>IF(J19&gt;=J167,J19-J167,0)</f>
        <v>248978</v>
      </c>
      <c r="K168" s="273">
        <f>IF(K19&gt;=K167,K19-K167,0)</f>
        <v>17664</v>
      </c>
      <c r="L168" s="79">
        <f t="shared" si="4"/>
        <v>7.094602735984705</v>
      </c>
    </row>
    <row r="169" spans="2:12" ht="12.75" customHeight="1">
      <c r="B169" s="141"/>
      <c r="C169" s="378" t="s">
        <v>196</v>
      </c>
      <c r="D169" s="378"/>
      <c r="E169" s="378"/>
      <c r="F169" s="378"/>
      <c r="G169" s="378"/>
      <c r="H169" s="378"/>
      <c r="I169" s="142">
        <v>150</v>
      </c>
      <c r="J169" s="273">
        <f>IF(J167&gt;=J19,J167-J19,0)</f>
        <v>0</v>
      </c>
      <c r="K169" s="273">
        <f>IF(K167&gt;=K19,K167-K19,0)</f>
        <v>0</v>
      </c>
      <c r="L169" s="79" t="str">
        <f>IF(J169&gt;0,IF(K169/J169&gt;=100,"&gt;&gt;100",K169/J169*100),"-")</f>
        <v>-</v>
      </c>
    </row>
    <row r="170" spans="2:12" ht="12.75">
      <c r="B170" s="141">
        <v>5221</v>
      </c>
      <c r="C170" s="378" t="s">
        <v>2099</v>
      </c>
      <c r="D170" s="378"/>
      <c r="E170" s="378"/>
      <c r="F170" s="378"/>
      <c r="G170" s="378"/>
      <c r="H170" s="378"/>
      <c r="I170" s="142">
        <v>151</v>
      </c>
      <c r="J170" s="80">
        <v>17347</v>
      </c>
      <c r="K170" s="80">
        <v>140170</v>
      </c>
      <c r="L170" s="79">
        <f>IF(J170&gt;0,IF(K170/J170&gt;=100,"&gt;&gt;100",K170/J170*100),"-")</f>
        <v>808.035971637747</v>
      </c>
    </row>
    <row r="171" spans="2:12" ht="12.75">
      <c r="B171" s="141">
        <v>5222</v>
      </c>
      <c r="C171" s="378" t="s">
        <v>2895</v>
      </c>
      <c r="D171" s="378"/>
      <c r="E171" s="378"/>
      <c r="F171" s="378"/>
      <c r="G171" s="378"/>
      <c r="H171" s="378"/>
      <c r="I171" s="142">
        <v>152</v>
      </c>
      <c r="J171" s="80">
        <v>0</v>
      </c>
      <c r="K171" s="80">
        <v>0</v>
      </c>
      <c r="L171" s="79" t="str">
        <f>IF(J171&gt;0,IF(K171/J171&gt;=100,"&gt;&gt;100",K171/J171*100),"-")</f>
        <v>-</v>
      </c>
    </row>
    <row r="172" spans="2:12" ht="12.75">
      <c r="B172" s="141"/>
      <c r="C172" s="378" t="s">
        <v>2869</v>
      </c>
      <c r="D172" s="378"/>
      <c r="E172" s="378"/>
      <c r="F172" s="378"/>
      <c r="G172" s="378"/>
      <c r="H172" s="378"/>
      <c r="I172" s="142">
        <v>153</v>
      </c>
      <c r="J172" s="80">
        <v>0</v>
      </c>
      <c r="K172" s="80">
        <v>0</v>
      </c>
      <c r="L172" s="79" t="str">
        <f>IF(J172&gt;0,IF(K172/J172&gt;=100,"&gt;&gt;100",K172/J172*100),"-")</f>
        <v>-</v>
      </c>
    </row>
    <row r="173" spans="2:12" ht="12.75" customHeight="1">
      <c r="B173" s="141"/>
      <c r="C173" s="378" t="s">
        <v>197</v>
      </c>
      <c r="D173" s="378"/>
      <c r="E173" s="378"/>
      <c r="F173" s="378"/>
      <c r="G173" s="378"/>
      <c r="H173" s="378"/>
      <c r="I173" s="142">
        <v>154</v>
      </c>
      <c r="J173" s="273">
        <f>IF(J168+J170-J169-J171-J172&gt;=0,J168+J170-J169-J171-J172,0)</f>
        <v>266325</v>
      </c>
      <c r="K173" s="273">
        <f>IF(K168+K170-K169-K171-K172&gt;=0,K168+K170-K169-K171-K172,0)</f>
        <v>157834</v>
      </c>
      <c r="L173" s="79">
        <f>IF(J173&gt;0,IF(K173/J173&gt;=100,"&gt;&gt;100",K173/J173*100),"-")</f>
        <v>59.263681592039795</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2714</v>
      </c>
      <c r="C175" s="380"/>
      <c r="D175" s="380"/>
      <c r="E175" s="380"/>
      <c r="F175" s="380"/>
      <c r="G175" s="380"/>
      <c r="H175" s="380"/>
      <c r="I175" s="380"/>
      <c r="J175" s="380"/>
      <c r="K175" s="380"/>
      <c r="L175" s="381"/>
    </row>
    <row r="176" spans="2:12" ht="12.75">
      <c r="B176" s="139">
        <v>11</v>
      </c>
      <c r="C176" s="382" t="s">
        <v>2100</v>
      </c>
      <c r="D176" s="382"/>
      <c r="E176" s="382"/>
      <c r="F176" s="382"/>
      <c r="G176" s="382"/>
      <c r="H176" s="382"/>
      <c r="I176" s="140">
        <v>156</v>
      </c>
      <c r="J176" s="83">
        <v>364233</v>
      </c>
      <c r="K176" s="83">
        <v>252992</v>
      </c>
      <c r="L176" s="78">
        <f aca="true" t="shared" si="5" ref="L176:L183">IF(J176&gt;0,IF(K176/J176&gt;=100,"&gt;&gt;100",K176/J176*100),"-")</f>
        <v>69.45883541579154</v>
      </c>
    </row>
    <row r="177" spans="2:12" ht="12.75">
      <c r="B177" s="145" t="s">
        <v>2101</v>
      </c>
      <c r="C177" s="378" t="s">
        <v>1770</v>
      </c>
      <c r="D177" s="378"/>
      <c r="E177" s="378"/>
      <c r="F177" s="378"/>
      <c r="G177" s="378"/>
      <c r="H177" s="378"/>
      <c r="I177" s="142">
        <v>157</v>
      </c>
      <c r="J177" s="80">
        <v>3439111</v>
      </c>
      <c r="K177" s="80">
        <v>1954754</v>
      </c>
      <c r="L177" s="79">
        <f t="shared" si="5"/>
        <v>56.83893308474196</v>
      </c>
    </row>
    <row r="178" spans="2:12" ht="12.75">
      <c r="B178" s="145" t="s">
        <v>651</v>
      </c>
      <c r="C178" s="378" t="s">
        <v>652</v>
      </c>
      <c r="D178" s="378"/>
      <c r="E178" s="378"/>
      <c r="F178" s="378"/>
      <c r="G178" s="378"/>
      <c r="H178" s="378"/>
      <c r="I178" s="142">
        <v>158</v>
      </c>
      <c r="J178" s="80">
        <v>3550352</v>
      </c>
      <c r="K178" s="80">
        <v>2050820</v>
      </c>
      <c r="L178" s="79">
        <f t="shared" si="5"/>
        <v>57.76384989432034</v>
      </c>
    </row>
    <row r="179" spans="2:12" ht="12.75" customHeight="1">
      <c r="B179" s="141">
        <v>11</v>
      </c>
      <c r="C179" s="384" t="s">
        <v>199</v>
      </c>
      <c r="D179" s="384"/>
      <c r="E179" s="384"/>
      <c r="F179" s="384"/>
      <c r="G179" s="384"/>
      <c r="H179" s="385"/>
      <c r="I179" s="142">
        <v>159</v>
      </c>
      <c r="J179" s="273">
        <f>J176+J177-J178</f>
        <v>252992</v>
      </c>
      <c r="K179" s="273">
        <f>K176+K177-K178</f>
        <v>156926</v>
      </c>
      <c r="L179" s="79">
        <f t="shared" si="5"/>
        <v>62.028048317733365</v>
      </c>
    </row>
    <row r="180" spans="2:12" ht="12.75">
      <c r="B180" s="141"/>
      <c r="C180" s="378" t="s">
        <v>2896</v>
      </c>
      <c r="D180" s="378"/>
      <c r="E180" s="378"/>
      <c r="F180" s="378"/>
      <c r="G180" s="378"/>
      <c r="H180" s="378"/>
      <c r="I180" s="142">
        <v>160</v>
      </c>
      <c r="J180" s="80">
        <v>30</v>
      </c>
      <c r="K180" s="80">
        <v>16</v>
      </c>
      <c r="L180" s="79">
        <f t="shared" si="5"/>
        <v>53.333333333333336</v>
      </c>
    </row>
    <row r="181" spans="2:12" ht="12.75">
      <c r="B181" s="141"/>
      <c r="C181" s="378" t="s">
        <v>2897</v>
      </c>
      <c r="D181" s="378"/>
      <c r="E181" s="378"/>
      <c r="F181" s="378"/>
      <c r="G181" s="378"/>
      <c r="H181" s="378"/>
      <c r="I181" s="142">
        <v>161</v>
      </c>
      <c r="J181" s="80">
        <v>28</v>
      </c>
      <c r="K181" s="80">
        <v>12</v>
      </c>
      <c r="L181" s="79">
        <f t="shared" si="5"/>
        <v>42.857142857142854</v>
      </c>
    </row>
    <row r="182" spans="2:12" ht="12.75">
      <c r="B182" s="141"/>
      <c r="C182" s="378" t="s">
        <v>1654</v>
      </c>
      <c r="D182" s="378"/>
      <c r="E182" s="378"/>
      <c r="F182" s="378"/>
      <c r="G182" s="378"/>
      <c r="H182" s="378"/>
      <c r="I182" s="142">
        <v>162</v>
      </c>
      <c r="J182" s="80">
        <v>10</v>
      </c>
      <c r="K182" s="80">
        <v>9</v>
      </c>
      <c r="L182" s="79">
        <f t="shared" si="5"/>
        <v>90</v>
      </c>
    </row>
    <row r="183" spans="2:12" ht="12.75">
      <c r="B183" s="143"/>
      <c r="C183" s="383" t="s">
        <v>1655</v>
      </c>
      <c r="D183" s="383"/>
      <c r="E183" s="383"/>
      <c r="F183" s="383"/>
      <c r="G183" s="383"/>
      <c r="H183" s="383"/>
      <c r="I183" s="144">
        <v>163</v>
      </c>
      <c r="J183" s="81">
        <v>2242</v>
      </c>
      <c r="K183" s="81">
        <v>1984</v>
      </c>
      <c r="L183" s="82">
        <f t="shared" si="5"/>
        <v>88.49241748438894</v>
      </c>
    </row>
    <row r="184" spans="2:12" ht="12.75">
      <c r="B184" s="409" t="s">
        <v>2898</v>
      </c>
      <c r="C184" s="410"/>
      <c r="D184" s="410"/>
      <c r="E184" s="410"/>
      <c r="F184" s="410"/>
      <c r="G184" s="410"/>
      <c r="H184" s="411"/>
      <c r="I184" s="419" t="s">
        <v>810</v>
      </c>
      <c r="J184" s="419" t="s">
        <v>2899</v>
      </c>
      <c r="K184" s="420"/>
      <c r="L184" s="421" t="s">
        <v>2239</v>
      </c>
    </row>
    <row r="185" spans="2:12" ht="22.5">
      <c r="B185" s="412"/>
      <c r="C185" s="413"/>
      <c r="D185" s="413"/>
      <c r="E185" s="413"/>
      <c r="F185" s="413"/>
      <c r="G185" s="413"/>
      <c r="H185" s="414"/>
      <c r="I185" s="430"/>
      <c r="J185" s="84" t="s">
        <v>2900</v>
      </c>
      <c r="K185" s="85" t="s">
        <v>2901</v>
      </c>
      <c r="L185" s="422"/>
    </row>
    <row r="186" spans="2:12" ht="12.75">
      <c r="B186" s="139" t="s">
        <v>2919</v>
      </c>
      <c r="C186" s="382" t="s">
        <v>2902</v>
      </c>
      <c r="D186" s="382"/>
      <c r="E186" s="382"/>
      <c r="F186" s="382"/>
      <c r="G186" s="382"/>
      <c r="H186" s="382"/>
      <c r="I186" s="140">
        <v>164</v>
      </c>
      <c r="J186" s="83">
        <v>0</v>
      </c>
      <c r="K186" s="83">
        <v>0</v>
      </c>
      <c r="L186" s="78" t="str">
        <f aca="true" t="shared" si="6" ref="L186:L191">IF(J186&gt;0,IF(K186/J186&gt;=100,"&gt;&gt;100",K186/J186*100),"-")</f>
        <v>-</v>
      </c>
    </row>
    <row r="187" spans="2:12" ht="12.75">
      <c r="B187" s="141" t="s">
        <v>2920</v>
      </c>
      <c r="C187" s="378" t="s">
        <v>2903</v>
      </c>
      <c r="D187" s="378"/>
      <c r="E187" s="378"/>
      <c r="F187" s="378"/>
      <c r="G187" s="378"/>
      <c r="H187" s="378"/>
      <c r="I187" s="142">
        <v>165</v>
      </c>
      <c r="J187" s="80">
        <v>0</v>
      </c>
      <c r="K187" s="80">
        <v>0</v>
      </c>
      <c r="L187" s="79" t="str">
        <f t="shared" si="6"/>
        <v>-</v>
      </c>
    </row>
    <row r="188" spans="2:12" ht="12.75">
      <c r="B188" s="141" t="s">
        <v>2921</v>
      </c>
      <c r="C188" s="378" t="s">
        <v>2904</v>
      </c>
      <c r="D188" s="378"/>
      <c r="E188" s="378"/>
      <c r="F188" s="378"/>
      <c r="G188" s="378"/>
      <c r="H188" s="378"/>
      <c r="I188" s="142">
        <v>166</v>
      </c>
      <c r="J188" s="80">
        <v>0</v>
      </c>
      <c r="K188" s="80">
        <v>0</v>
      </c>
      <c r="L188" s="79" t="str">
        <f t="shared" si="6"/>
        <v>-</v>
      </c>
    </row>
    <row r="189" spans="2:12" ht="12.75">
      <c r="B189" s="141" t="s">
        <v>2922</v>
      </c>
      <c r="C189" s="378" t="s">
        <v>2905</v>
      </c>
      <c r="D189" s="378"/>
      <c r="E189" s="378"/>
      <c r="F189" s="378"/>
      <c r="G189" s="378"/>
      <c r="H189" s="378"/>
      <c r="I189" s="142">
        <v>167</v>
      </c>
      <c r="J189" s="80">
        <v>0</v>
      </c>
      <c r="K189" s="80">
        <v>0</v>
      </c>
      <c r="L189" s="79" t="str">
        <f t="shared" si="6"/>
        <v>-</v>
      </c>
    </row>
    <row r="190" spans="2:12" ht="12.75">
      <c r="B190" s="141" t="s">
        <v>2923</v>
      </c>
      <c r="C190" s="378" t="s">
        <v>2906</v>
      </c>
      <c r="D190" s="378"/>
      <c r="E190" s="378"/>
      <c r="F190" s="378"/>
      <c r="G190" s="378"/>
      <c r="H190" s="378"/>
      <c r="I190" s="142">
        <v>168</v>
      </c>
      <c r="J190" s="80">
        <v>0</v>
      </c>
      <c r="K190" s="80">
        <v>0</v>
      </c>
      <c r="L190" s="79" t="str">
        <f t="shared" si="6"/>
        <v>-</v>
      </c>
    </row>
    <row r="191" spans="2:12" ht="12.75">
      <c r="B191" s="143" t="s">
        <v>2924</v>
      </c>
      <c r="C191" s="383" t="s">
        <v>2907</v>
      </c>
      <c r="D191" s="383"/>
      <c r="E191" s="383"/>
      <c r="F191" s="383"/>
      <c r="G191" s="383"/>
      <c r="H191" s="383"/>
      <c r="I191" s="144">
        <v>169</v>
      </c>
      <c r="J191" s="81">
        <v>0</v>
      </c>
      <c r="K191" s="81">
        <v>0</v>
      </c>
      <c r="L191" s="82" t="str">
        <f t="shared" si="6"/>
        <v>-</v>
      </c>
    </row>
    <row r="192" spans="2:12" ht="33.75">
      <c r="B192" s="448" t="s">
        <v>1680</v>
      </c>
      <c r="C192" s="449"/>
      <c r="D192" s="449"/>
      <c r="E192" s="449"/>
      <c r="F192" s="449"/>
      <c r="G192" s="449"/>
      <c r="H192" s="450"/>
      <c r="I192" s="86" t="s">
        <v>810</v>
      </c>
      <c r="J192" s="87" t="s">
        <v>2236</v>
      </c>
      <c r="K192" s="88" t="s">
        <v>2237</v>
      </c>
      <c r="L192" s="89" t="s">
        <v>2239</v>
      </c>
    </row>
    <row r="193" spans="2:12" ht="12.75">
      <c r="B193" s="139"/>
      <c r="C193" s="382" t="s">
        <v>2238</v>
      </c>
      <c r="D193" s="382"/>
      <c r="E193" s="382"/>
      <c r="F193" s="382"/>
      <c r="G193" s="382"/>
      <c r="H193" s="382"/>
      <c r="I193" s="140">
        <v>170</v>
      </c>
      <c r="J193" s="83">
        <v>0</v>
      </c>
      <c r="K193" s="83">
        <v>0</v>
      </c>
      <c r="L193" s="78" t="str">
        <f>IF(J193&gt;0,IF(K193/J193&gt;=100,"&gt;&gt;100",K193/J193*100),"-")</f>
        <v>-</v>
      </c>
    </row>
    <row r="194" spans="2:12" ht="12.75" customHeight="1">
      <c r="B194" s="143"/>
      <c r="C194" s="445" t="s">
        <v>650</v>
      </c>
      <c r="D194" s="446"/>
      <c r="E194" s="446"/>
      <c r="F194" s="446"/>
      <c r="G194" s="446"/>
      <c r="H194" s="447"/>
      <c r="I194" s="144">
        <v>171</v>
      </c>
      <c r="J194" s="274">
        <f>SUM(J180:J183,J186:J191,J193)</f>
        <v>2310</v>
      </c>
      <c r="K194" s="274">
        <f>SUM(K180:K183,K186:K191,K193)</f>
        <v>2021</v>
      </c>
      <c r="L194" s="82">
        <f>IF(J194&gt;0,IF(K194/J194&gt;=100,"&gt;&gt;100",K194/J194*100),"-")</f>
        <v>87.4891774891775</v>
      </c>
    </row>
    <row r="195" s="118" customFormat="1" ht="14.25"/>
    <row r="196" spans="2:12" s="118" customFormat="1" ht="14.25">
      <c r="B196" s="425"/>
      <c r="C196" s="425"/>
      <c r="D196" s="425"/>
      <c r="E196" s="426"/>
      <c r="F196" s="426"/>
      <c r="G196" s="426"/>
      <c r="H196" s="426"/>
      <c r="I196" s="119"/>
      <c r="J196" s="427" t="s">
        <v>2355</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3" t="str">
        <f>IF(RefStr!N4=1,IF(RefStr!D39&lt;&gt;"",RefStr!D39,""),"")</f>
        <v>RADMILA BERIĆ</v>
      </c>
      <c r="E198" s="453"/>
      <c r="F198" s="453"/>
      <c r="G198" s="453"/>
      <c r="H198" s="453"/>
      <c r="I198" s="173"/>
      <c r="J198" s="415"/>
      <c r="K198" s="415"/>
      <c r="L198" s="415"/>
    </row>
    <row r="199" spans="2:12" s="118" customFormat="1" ht="15" thickBot="1">
      <c r="B199" s="386" t="s">
        <v>1671</v>
      </c>
      <c r="C199" s="386"/>
      <c r="D199" s="223" t="str">
        <f>IF(RefStr!N4=1,IF(RefStr!D41&lt;&gt;"",RefStr!D41,""),"")</f>
        <v>31.12.2022</v>
      </c>
      <c r="E199" s="176"/>
      <c r="F199" s="176"/>
      <c r="G199" s="176"/>
      <c r="H199" s="177"/>
      <c r="I199" s="178"/>
      <c r="J199" s="178"/>
      <c r="K199" s="179"/>
      <c r="L199" s="178"/>
    </row>
    <row r="200" spans="2:12" s="118" customFormat="1" ht="15" thickBot="1">
      <c r="B200" s="398" t="s">
        <v>429</v>
      </c>
      <c r="C200" s="398"/>
      <c r="D200" s="172" t="str">
        <f>IF(RefStr!N4=1,IF(RefStr!D43&lt;&gt;"",RefStr!D43,""),"")</f>
        <v>Ivana Đuretić</v>
      </c>
      <c r="E200" s="172"/>
      <c r="F200" s="172"/>
      <c r="G200" s="172"/>
      <c r="H200" s="171"/>
      <c r="I200" s="171"/>
      <c r="J200" s="171"/>
      <c r="K200" s="171"/>
      <c r="L200" s="171"/>
    </row>
    <row r="201" spans="2:12" s="118" customFormat="1" ht="15" thickBot="1">
      <c r="B201" s="386" t="s">
        <v>430</v>
      </c>
      <c r="C201" s="386"/>
      <c r="D201" s="451" t="str">
        <f>IF(RefStr!N4=1,IF(RefStr!D45&lt;&gt;"",RefStr!D45,""),"")</f>
        <v>0915445500</v>
      </c>
      <c r="E201" s="451"/>
      <c r="F201" s="171"/>
      <c r="G201" s="180"/>
      <c r="H201" s="180"/>
      <c r="I201" s="180"/>
      <c r="J201" s="180"/>
      <c r="K201" s="180"/>
      <c r="L201" s="180"/>
    </row>
    <row r="202" spans="2:12" s="118" customFormat="1" ht="15" thickBot="1">
      <c r="B202" s="386" t="s">
        <v>2734</v>
      </c>
      <c r="C202" s="386"/>
      <c r="D202" s="452" t="str">
        <f>IF(RefStr!N4=1,IF(RefStr!D47&lt;&gt;"",RefStr!D47,""),"")</f>
        <v>-</v>
      </c>
      <c r="E202" s="452"/>
      <c r="F202" s="181"/>
      <c r="G202" s="181"/>
      <c r="H202" s="181"/>
      <c r="I202" s="181"/>
      <c r="J202" s="181"/>
      <c r="K202" s="180"/>
      <c r="L202" s="180"/>
    </row>
    <row r="203" spans="2:12" s="118" customFormat="1" ht="15" thickBot="1">
      <c r="B203" s="386" t="s">
        <v>431</v>
      </c>
      <c r="C203" s="386"/>
      <c r="D203" s="431" t="str">
        <f>IF(RefStr!N4=1,IF(RefStr!D49&lt;&gt;"",RefStr!D49,""),"")</f>
        <v>ivana.irissavjetovanje@gmail.com</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5:H55"/>
    <mergeCell ref="C54:H54"/>
    <mergeCell ref="C91:H91"/>
    <mergeCell ref="C83:H83"/>
    <mergeCell ref="B72:L72"/>
    <mergeCell ref="C80:H80"/>
    <mergeCell ref="C89:H89"/>
    <mergeCell ref="C51:H51"/>
    <mergeCell ref="C52:H52"/>
    <mergeCell ref="C53:H53"/>
    <mergeCell ref="C56:H56"/>
    <mergeCell ref="C57:H57"/>
    <mergeCell ref="C46:H46"/>
    <mergeCell ref="C47:H47"/>
    <mergeCell ref="C49:H49"/>
    <mergeCell ref="C50:H50"/>
    <mergeCell ref="C162:H162"/>
    <mergeCell ref="C70:H70"/>
    <mergeCell ref="C71:H71"/>
    <mergeCell ref="C143:H143"/>
    <mergeCell ref="C145:H145"/>
    <mergeCell ref="C94:H94"/>
    <mergeCell ref="C189:H189"/>
    <mergeCell ref="D201:E201"/>
    <mergeCell ref="D202:E202"/>
    <mergeCell ref="D198:H198"/>
    <mergeCell ref="B199:C199"/>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99:H99"/>
    <mergeCell ref="C100:H100"/>
    <mergeCell ref="C109:H109"/>
    <mergeCell ref="C110:H110"/>
    <mergeCell ref="C111:H111"/>
    <mergeCell ref="J198:L198"/>
    <mergeCell ref="C191:H191"/>
    <mergeCell ref="C194:H194"/>
    <mergeCell ref="B192:H192"/>
    <mergeCell ref="C188:H188"/>
    <mergeCell ref="C82:H82"/>
    <mergeCell ref="C75:H75"/>
    <mergeCell ref="C81:H81"/>
    <mergeCell ref="C73:H73"/>
    <mergeCell ref="C79:H79"/>
    <mergeCell ref="B184:H185"/>
    <mergeCell ref="C95:H95"/>
    <mergeCell ref="C96:H96"/>
    <mergeCell ref="C97:H97"/>
    <mergeCell ref="C98:H98"/>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36:H136"/>
    <mergeCell ref="C137:H137"/>
    <mergeCell ref="C138:H138"/>
    <mergeCell ref="C139:H139"/>
    <mergeCell ref="C152:H152"/>
    <mergeCell ref="C141:H141"/>
    <mergeCell ref="C142:H142"/>
    <mergeCell ref="C144:H144"/>
    <mergeCell ref="C151:H151"/>
    <mergeCell ref="C147:H147"/>
    <mergeCell ref="C148:H148"/>
    <mergeCell ref="C149:H149"/>
    <mergeCell ref="C150:H150"/>
    <mergeCell ref="C146:H146"/>
    <mergeCell ref="C153:H153"/>
    <mergeCell ref="C154:H154"/>
    <mergeCell ref="C164:H164"/>
    <mergeCell ref="C155:H155"/>
    <mergeCell ref="C156:H156"/>
    <mergeCell ref="C159:H159"/>
    <mergeCell ref="C160:H160"/>
    <mergeCell ref="C163:H163"/>
    <mergeCell ref="C158:H158"/>
    <mergeCell ref="C161:H161"/>
    <mergeCell ref="C183:H183"/>
    <mergeCell ref="C180:H180"/>
    <mergeCell ref="C181:H181"/>
    <mergeCell ref="C179:H179"/>
    <mergeCell ref="C182:H182"/>
    <mergeCell ref="C157:H157"/>
    <mergeCell ref="B175:L175"/>
    <mergeCell ref="C176:H176"/>
    <mergeCell ref="C177:H177"/>
    <mergeCell ref="C178:H178"/>
    <mergeCell ref="C169:H169"/>
    <mergeCell ref="C170:H170"/>
    <mergeCell ref="C172:H172"/>
    <mergeCell ref="C171:H171"/>
    <mergeCell ref="C174:H174"/>
    <mergeCell ref="C166:H166"/>
    <mergeCell ref="C167:H167"/>
    <mergeCell ref="C168:H168"/>
    <mergeCell ref="C165:H165"/>
    <mergeCell ref="C173:H173"/>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2"/>
      <c r="L2" s="432"/>
    </row>
    <row r="3" spans="2:12" s="27" customFormat="1" ht="30" customHeight="1" thickBot="1">
      <c r="B3" s="438" t="s">
        <v>2367</v>
      </c>
      <c r="C3" s="439"/>
      <c r="D3" s="132"/>
      <c r="E3" s="132"/>
      <c r="F3" s="108"/>
      <c r="G3" s="108"/>
      <c r="H3" s="108"/>
      <c r="I3" s="108"/>
      <c r="J3" s="108"/>
      <c r="K3" s="440" t="s">
        <v>642</v>
      </c>
      <c r="L3" s="441"/>
    </row>
    <row r="4" spans="2:12" s="27" customFormat="1" ht="30" customHeight="1">
      <c r="B4" s="433" t="s">
        <v>732</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31.12.2022.</v>
      </c>
      <c r="C6" s="436"/>
      <c r="D6" s="436"/>
      <c r="E6" s="436"/>
      <c r="F6" s="436"/>
      <c r="G6" s="436"/>
      <c r="H6" s="436"/>
      <c r="I6" s="436"/>
      <c r="J6" s="436"/>
      <c r="K6" s="436"/>
      <c r="L6" s="436"/>
      <c r="P6" s="264" t="s">
        <v>1519</v>
      </c>
    </row>
    <row r="7" spans="2:16" ht="18" customHeight="1" thickBot="1">
      <c r="B7" s="416" t="s">
        <v>2704</v>
      </c>
      <c r="C7" s="442"/>
      <c r="D7" s="443" t="str">
        <f>IF(RefStr!O4=1,IF(RefStr!C7&lt;&gt;"",RefStr!C7,""),"")</f>
        <v>UDRUGA ŽENE KOSOVSKE DOLINE</v>
      </c>
      <c r="E7" s="444"/>
      <c r="F7" s="444"/>
      <c r="G7" s="444"/>
      <c r="H7" s="444"/>
      <c r="I7" s="444"/>
      <c r="J7" s="444"/>
      <c r="K7" s="444"/>
      <c r="L7" s="444"/>
      <c r="P7" s="27" t="s">
        <v>391</v>
      </c>
    </row>
    <row r="8" spans="2:12" ht="18" customHeight="1" thickBot="1">
      <c r="B8" s="416" t="s">
        <v>809</v>
      </c>
      <c r="C8" s="416"/>
      <c r="D8" s="231" t="str">
        <f>IF(RefStr!O4=1,IF(RefStr!C9&lt;&gt;"",RefStr!C9,""),"")</f>
        <v>22300</v>
      </c>
      <c r="E8" s="121"/>
      <c r="F8" s="128" t="s">
        <v>812</v>
      </c>
      <c r="G8" s="423" t="str">
        <f>IF(RefStr!O4=1,IF(RefStr!E9&lt;&gt;"",RefStr!E9,""),"")</f>
        <v>RIĐANE, 22300 KNIN</v>
      </c>
      <c r="H8" s="424"/>
      <c r="I8" s="424"/>
      <c r="J8" s="424"/>
      <c r="K8" s="424"/>
      <c r="L8" s="424"/>
    </row>
    <row r="9" spans="2:12" ht="18" customHeight="1" thickBot="1">
      <c r="B9" s="416" t="s">
        <v>2705</v>
      </c>
      <c r="C9" s="416"/>
      <c r="D9" s="423" t="str">
        <f>IF(RefStr!O4=1,IF(RefStr!C11&lt;&gt;"",RefStr!C11,""),"")</f>
        <v>RIĐANE CENTAR 84</v>
      </c>
      <c r="E9" s="423"/>
      <c r="F9" s="423"/>
      <c r="G9" s="423"/>
      <c r="H9" s="423"/>
      <c r="I9" s="423"/>
      <c r="J9" s="423"/>
      <c r="K9" s="423"/>
      <c r="L9" s="423"/>
    </row>
    <row r="10" spans="2:12" ht="18" customHeight="1" thickBot="1">
      <c r="B10" s="416" t="s">
        <v>334</v>
      </c>
      <c r="C10" s="416" t="s">
        <v>1657</v>
      </c>
      <c r="D10" s="428" t="str">
        <f>IF(RefStr!O4=1,IF(RefStr!C13&lt;&gt;"",RefStr!C13,""),"")</f>
        <v>HR6324020061100653723</v>
      </c>
      <c r="E10" s="429"/>
      <c r="F10" s="429"/>
      <c r="G10" s="122"/>
      <c r="H10" s="122"/>
      <c r="I10" s="136"/>
      <c r="J10" s="128" t="s">
        <v>1541</v>
      </c>
      <c r="K10" s="227" t="str">
        <f>IF(RefStr!O4=1,IF(RefStr!J9&lt;&gt;"",RefStr!J9,""),"")</f>
        <v>0238904</v>
      </c>
      <c r="L10" s="136"/>
    </row>
    <row r="11" spans="2:12" ht="18" customHeight="1" thickBot="1">
      <c r="B11" s="396" t="s">
        <v>2707</v>
      </c>
      <c r="C11" s="397"/>
      <c r="D11" s="120" t="str">
        <f>IF(RefStr!O4=1,IF(RefStr!C15&lt;&gt;"",RefStr!C15,""),"")</f>
        <v>9499</v>
      </c>
      <c r="E11" s="232" t="str">
        <f>IF(RefStr!D15&lt;&gt;"",RefStr!D15,"")</f>
        <v>Djelatnosti ostalih članskih organizacija, d. n.</v>
      </c>
      <c r="F11" s="123"/>
      <c r="G11" s="136"/>
      <c r="H11" s="136"/>
      <c r="I11" s="137"/>
      <c r="J11" s="208" t="s">
        <v>2329</v>
      </c>
      <c r="K11" s="226" t="str">
        <f>IF(RefStr!O4=1,IF(RefStr!J11&lt;&gt;"",RefStr!J11,""),"")</f>
        <v>04008863</v>
      </c>
      <c r="L11" s="136"/>
    </row>
    <row r="12" spans="2:12" ht="18" customHeight="1" thickBot="1">
      <c r="B12" s="416" t="s">
        <v>1659</v>
      </c>
      <c r="C12" s="397"/>
      <c r="D12" s="124">
        <f>IF(RefStr!O4=1,IF(RefStr!C17&lt;&gt;"",RefStr!C17,""),"")</f>
        <v>196</v>
      </c>
      <c r="E12" s="233" t="str">
        <f>IF(RefStr!D17&lt;&gt;"",RefStr!D17,"")</f>
        <v>Grad/općina: KNIN</v>
      </c>
      <c r="F12" s="125"/>
      <c r="G12" s="122"/>
      <c r="H12" s="122"/>
      <c r="I12" s="126"/>
      <c r="J12" s="208" t="s">
        <v>1542</v>
      </c>
      <c r="K12" s="417" t="str">
        <f>IF(RefStr!O4=1,IF(RefStr!J13&lt;&gt;"",RefStr!J13,""),"")</f>
        <v>79896958112</v>
      </c>
      <c r="L12" s="418"/>
    </row>
    <row r="13" spans="2:12" ht="18" customHeight="1" thickBot="1">
      <c r="B13" s="136"/>
      <c r="C13" s="127"/>
      <c r="D13" s="262"/>
      <c r="E13" s="263"/>
      <c r="F13" s="263"/>
      <c r="G13" s="263"/>
      <c r="H13" s="263"/>
      <c r="I13" s="396" t="s">
        <v>1658</v>
      </c>
      <c r="J13" s="397"/>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15</v>
      </c>
      <c r="L14" s="129"/>
    </row>
    <row r="15" spans="2:16" s="27" customFormat="1"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c r="P15" s="29"/>
    </row>
    <row r="16" spans="2:12" s="27" customFormat="1" ht="34.5" customHeight="1">
      <c r="B16" s="90" t="s">
        <v>2747</v>
      </c>
      <c r="C16" s="393" t="s">
        <v>811</v>
      </c>
      <c r="D16" s="393"/>
      <c r="E16" s="393"/>
      <c r="F16" s="393"/>
      <c r="G16" s="394"/>
      <c r="H16" s="394"/>
      <c r="I16" s="86" t="s">
        <v>810</v>
      </c>
      <c r="J16" s="87" t="s">
        <v>2236</v>
      </c>
      <c r="K16" s="88" t="s">
        <v>1661</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733</v>
      </c>
      <c r="C18" s="380"/>
      <c r="D18" s="380"/>
      <c r="E18" s="380"/>
      <c r="F18" s="380"/>
      <c r="G18" s="380"/>
      <c r="H18" s="380"/>
      <c r="I18" s="380"/>
      <c r="J18" s="380"/>
      <c r="K18" s="380"/>
      <c r="L18" s="381"/>
    </row>
    <row r="19" spans="2:12" ht="14.25">
      <c r="B19" s="146"/>
      <c r="C19" s="461" t="s">
        <v>1662</v>
      </c>
      <c r="D19" s="462"/>
      <c r="E19" s="462"/>
      <c r="F19" s="462"/>
      <c r="G19" s="462"/>
      <c r="H19" s="462"/>
      <c r="I19" s="147">
        <v>1</v>
      </c>
      <c r="J19" s="148">
        <f>J20+J92</f>
        <v>716083</v>
      </c>
      <c r="K19" s="148">
        <f>K20+K92</f>
        <v>446460</v>
      </c>
      <c r="L19" s="134">
        <f aca="true" t="shared" si="0" ref="L19:L50">IF(J19&gt;0,IF(K19/J19&gt;=100,"&gt;&gt;100",K19/J19*100),"-")</f>
        <v>62.347521167238995</v>
      </c>
    </row>
    <row r="20" spans="2:12" ht="14.25">
      <c r="B20" s="149">
        <v>0</v>
      </c>
      <c r="C20" s="459" t="s">
        <v>734</v>
      </c>
      <c r="D20" s="460"/>
      <c r="E20" s="460"/>
      <c r="F20" s="460"/>
      <c r="G20" s="460"/>
      <c r="H20" s="460"/>
      <c r="I20" s="150">
        <v>2</v>
      </c>
      <c r="J20" s="151">
        <f>J21+J36+J65+J69+J73+J82</f>
        <v>362650</v>
      </c>
      <c r="K20" s="151">
        <f>K21+K36+K65+K69+K73+K82</f>
        <v>170894</v>
      </c>
      <c r="L20" s="152">
        <f t="shared" si="0"/>
        <v>47.1236729629119</v>
      </c>
    </row>
    <row r="21" spans="2:12" ht="14.25">
      <c r="B21" s="149" t="s">
        <v>735</v>
      </c>
      <c r="C21" s="459" t="s">
        <v>1683</v>
      </c>
      <c r="D21" s="460"/>
      <c r="E21" s="460"/>
      <c r="F21" s="460"/>
      <c r="G21" s="460"/>
      <c r="H21" s="460"/>
      <c r="I21" s="150">
        <v>3</v>
      </c>
      <c r="J21" s="151">
        <f>J22+J26-J35</f>
        <v>1786</v>
      </c>
      <c r="K21" s="151">
        <f>K22+K26-K35</f>
        <v>0</v>
      </c>
      <c r="L21" s="152">
        <f t="shared" si="0"/>
        <v>0</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v>0</v>
      </c>
      <c r="K23" s="155">
        <v>0</v>
      </c>
      <c r="L23" s="152" t="str">
        <f t="shared" si="0"/>
        <v>-</v>
      </c>
    </row>
    <row r="24" spans="2:12" ht="14.25">
      <c r="B24" s="153" t="s">
        <v>880</v>
      </c>
      <c r="C24" s="457" t="s">
        <v>1687</v>
      </c>
      <c r="D24" s="458"/>
      <c r="E24" s="458"/>
      <c r="F24" s="458"/>
      <c r="G24" s="458"/>
      <c r="H24" s="458"/>
      <c r="I24" s="150">
        <v>6</v>
      </c>
      <c r="J24" s="154">
        <v>0</v>
      </c>
      <c r="K24" s="155">
        <v>0</v>
      </c>
      <c r="L24" s="152" t="str">
        <f t="shared" si="0"/>
        <v>-</v>
      </c>
    </row>
    <row r="25" spans="2:12" ht="14.25">
      <c r="B25" s="153" t="s">
        <v>882</v>
      </c>
      <c r="C25" s="457" t="s">
        <v>1688</v>
      </c>
      <c r="D25" s="458"/>
      <c r="E25" s="458"/>
      <c r="F25" s="458"/>
      <c r="G25" s="458"/>
      <c r="H25" s="458"/>
      <c r="I25" s="150">
        <v>7</v>
      </c>
      <c r="J25" s="154">
        <v>0</v>
      </c>
      <c r="K25" s="155">
        <v>0</v>
      </c>
      <c r="L25" s="152" t="str">
        <f t="shared" si="0"/>
        <v>-</v>
      </c>
    </row>
    <row r="26" spans="2:12" ht="14.25">
      <c r="B26" s="153" t="s">
        <v>1689</v>
      </c>
      <c r="C26" s="457" t="s">
        <v>1690</v>
      </c>
      <c r="D26" s="458"/>
      <c r="E26" s="458"/>
      <c r="F26" s="458"/>
      <c r="G26" s="458"/>
      <c r="H26" s="458"/>
      <c r="I26" s="150">
        <v>8</v>
      </c>
      <c r="J26" s="151">
        <f>SUM(J27:J34)</f>
        <v>1786</v>
      </c>
      <c r="K26" s="151">
        <f>SUM(K27:K34)</f>
        <v>0</v>
      </c>
      <c r="L26" s="152">
        <f t="shared" si="0"/>
        <v>0</v>
      </c>
    </row>
    <row r="27" spans="2:12" ht="14.25">
      <c r="B27" s="153" t="s">
        <v>1356</v>
      </c>
      <c r="C27" s="457" t="s">
        <v>1691</v>
      </c>
      <c r="D27" s="458"/>
      <c r="E27" s="458"/>
      <c r="F27" s="458"/>
      <c r="G27" s="458"/>
      <c r="H27" s="458"/>
      <c r="I27" s="150">
        <v>9</v>
      </c>
      <c r="J27" s="154">
        <v>0</v>
      </c>
      <c r="K27" s="155">
        <v>0</v>
      </c>
      <c r="L27" s="152" t="str">
        <f t="shared" si="0"/>
        <v>-</v>
      </c>
    </row>
    <row r="28" spans="2:12" ht="14.25">
      <c r="B28" s="153" t="s">
        <v>1358</v>
      </c>
      <c r="C28" s="457" t="s">
        <v>1692</v>
      </c>
      <c r="D28" s="458"/>
      <c r="E28" s="458"/>
      <c r="F28" s="458"/>
      <c r="G28" s="458"/>
      <c r="H28" s="458"/>
      <c r="I28" s="150">
        <v>10</v>
      </c>
      <c r="J28" s="154">
        <v>0</v>
      </c>
      <c r="K28" s="155">
        <v>0</v>
      </c>
      <c r="L28" s="152" t="str">
        <f t="shared" si="0"/>
        <v>-</v>
      </c>
    </row>
    <row r="29" spans="2:12" ht="14.25">
      <c r="B29" s="153" t="s">
        <v>1360</v>
      </c>
      <c r="C29" s="457" t="s">
        <v>1693</v>
      </c>
      <c r="D29" s="458"/>
      <c r="E29" s="458"/>
      <c r="F29" s="458"/>
      <c r="G29" s="458"/>
      <c r="H29" s="458"/>
      <c r="I29" s="150">
        <v>11</v>
      </c>
      <c r="J29" s="154">
        <v>1786</v>
      </c>
      <c r="K29" s="155">
        <v>0</v>
      </c>
      <c r="L29" s="152">
        <f t="shared" si="0"/>
        <v>0</v>
      </c>
    </row>
    <row r="30" spans="2:12" ht="14.25">
      <c r="B30" s="153" t="s">
        <v>1362</v>
      </c>
      <c r="C30" s="457" t="s">
        <v>1694</v>
      </c>
      <c r="D30" s="458"/>
      <c r="E30" s="458"/>
      <c r="F30" s="458"/>
      <c r="G30" s="458"/>
      <c r="H30" s="458"/>
      <c r="I30" s="150">
        <v>12</v>
      </c>
      <c r="J30" s="154">
        <v>0</v>
      </c>
      <c r="K30" s="155">
        <v>0</v>
      </c>
      <c r="L30" s="152" t="str">
        <f t="shared" si="0"/>
        <v>-</v>
      </c>
    </row>
    <row r="31" spans="2:12" ht="14.25">
      <c r="B31" s="153" t="s">
        <v>1364</v>
      </c>
      <c r="C31" s="457" t="s">
        <v>1695</v>
      </c>
      <c r="D31" s="458"/>
      <c r="E31" s="458"/>
      <c r="F31" s="458"/>
      <c r="G31" s="458"/>
      <c r="H31" s="458"/>
      <c r="I31" s="150">
        <v>13</v>
      </c>
      <c r="J31" s="154">
        <v>0</v>
      </c>
      <c r="K31" s="155">
        <v>0</v>
      </c>
      <c r="L31" s="152" t="str">
        <f t="shared" si="0"/>
        <v>-</v>
      </c>
    </row>
    <row r="32" spans="2:12" ht="14.25">
      <c r="B32" s="153" t="s">
        <v>1366</v>
      </c>
      <c r="C32" s="457" t="s">
        <v>1696</v>
      </c>
      <c r="D32" s="458"/>
      <c r="E32" s="458"/>
      <c r="F32" s="458"/>
      <c r="G32" s="458"/>
      <c r="H32" s="458"/>
      <c r="I32" s="150">
        <v>14</v>
      </c>
      <c r="J32" s="154">
        <v>0</v>
      </c>
      <c r="K32" s="155">
        <v>0</v>
      </c>
      <c r="L32" s="152" t="str">
        <f t="shared" si="0"/>
        <v>-</v>
      </c>
    </row>
    <row r="33" spans="2:12" ht="14.25">
      <c r="B33" s="153" t="s">
        <v>1368</v>
      </c>
      <c r="C33" s="457" t="s">
        <v>1697</v>
      </c>
      <c r="D33" s="458"/>
      <c r="E33" s="458"/>
      <c r="F33" s="458"/>
      <c r="G33" s="458"/>
      <c r="H33" s="458"/>
      <c r="I33" s="150">
        <v>15</v>
      </c>
      <c r="J33" s="154">
        <v>0</v>
      </c>
      <c r="K33" s="155">
        <v>0</v>
      </c>
      <c r="L33" s="152" t="str">
        <f t="shared" si="0"/>
        <v>-</v>
      </c>
    </row>
    <row r="34" spans="2:12" ht="14.25">
      <c r="B34" s="153" t="s">
        <v>1370</v>
      </c>
      <c r="C34" s="457" t="s">
        <v>1698</v>
      </c>
      <c r="D34" s="458"/>
      <c r="E34" s="458"/>
      <c r="F34" s="458"/>
      <c r="G34" s="458"/>
      <c r="H34" s="458"/>
      <c r="I34" s="150">
        <v>16</v>
      </c>
      <c r="J34" s="154">
        <v>0</v>
      </c>
      <c r="K34" s="155">
        <v>0</v>
      </c>
      <c r="L34" s="152" t="str">
        <f t="shared" si="0"/>
        <v>-</v>
      </c>
    </row>
    <row r="35" spans="2:12" ht="14.25">
      <c r="B35" s="153" t="s">
        <v>1699</v>
      </c>
      <c r="C35" s="457" t="s">
        <v>1700</v>
      </c>
      <c r="D35" s="458"/>
      <c r="E35" s="458"/>
      <c r="F35" s="458"/>
      <c r="G35" s="458"/>
      <c r="H35" s="458"/>
      <c r="I35" s="150">
        <v>17</v>
      </c>
      <c r="J35" s="154">
        <v>0</v>
      </c>
      <c r="K35" s="155">
        <v>0</v>
      </c>
      <c r="L35" s="152" t="str">
        <f t="shared" si="0"/>
        <v>-</v>
      </c>
    </row>
    <row r="36" spans="2:12" ht="14.25">
      <c r="B36" s="149" t="s">
        <v>1701</v>
      </c>
      <c r="C36" s="459" t="s">
        <v>1702</v>
      </c>
      <c r="D36" s="460"/>
      <c r="E36" s="460"/>
      <c r="F36" s="460"/>
      <c r="G36" s="460"/>
      <c r="H36" s="460"/>
      <c r="I36" s="150">
        <v>18</v>
      </c>
      <c r="J36" s="151">
        <f>J37+J41+J49+J52+J57+J60-J64</f>
        <v>237025</v>
      </c>
      <c r="K36" s="151">
        <f>K37+K41+K49+K52+K57+K60-K64</f>
        <v>170894</v>
      </c>
      <c r="L36" s="152">
        <f t="shared" si="0"/>
        <v>72.09956755616496</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v>0</v>
      </c>
      <c r="K38" s="155">
        <v>0</v>
      </c>
      <c r="L38" s="152" t="str">
        <f t="shared" si="0"/>
        <v>-</v>
      </c>
    </row>
    <row r="39" spans="2:12" ht="14.25">
      <c r="B39" s="153" t="s">
        <v>1707</v>
      </c>
      <c r="C39" s="457" t="s">
        <v>1708</v>
      </c>
      <c r="D39" s="458"/>
      <c r="E39" s="458"/>
      <c r="F39" s="458"/>
      <c r="G39" s="458"/>
      <c r="H39" s="458"/>
      <c r="I39" s="150">
        <v>21</v>
      </c>
      <c r="J39" s="154">
        <v>0</v>
      </c>
      <c r="K39" s="155">
        <v>0</v>
      </c>
      <c r="L39" s="152" t="str">
        <f t="shared" si="0"/>
        <v>-</v>
      </c>
    </row>
    <row r="40" spans="2:12" ht="14.25">
      <c r="B40" s="153" t="s">
        <v>1709</v>
      </c>
      <c r="C40" s="457" t="s">
        <v>1710</v>
      </c>
      <c r="D40" s="458"/>
      <c r="E40" s="458"/>
      <c r="F40" s="458"/>
      <c r="G40" s="458"/>
      <c r="H40" s="458"/>
      <c r="I40" s="150">
        <v>22</v>
      </c>
      <c r="J40" s="154">
        <v>0</v>
      </c>
      <c r="K40" s="155">
        <v>0</v>
      </c>
      <c r="L40" s="152" t="str">
        <f t="shared" si="0"/>
        <v>-</v>
      </c>
    </row>
    <row r="41" spans="2:12" ht="14.25">
      <c r="B41" s="153" t="s">
        <v>1711</v>
      </c>
      <c r="C41" s="457" t="s">
        <v>1712</v>
      </c>
      <c r="D41" s="458"/>
      <c r="E41" s="458"/>
      <c r="F41" s="458"/>
      <c r="G41" s="458"/>
      <c r="H41" s="458"/>
      <c r="I41" s="150">
        <v>23</v>
      </c>
      <c r="J41" s="151">
        <f>SUM(J42:J48)</f>
        <v>168372</v>
      </c>
      <c r="K41" s="151">
        <f>SUM(K42:K48)</f>
        <v>138420</v>
      </c>
      <c r="L41" s="152">
        <f t="shared" si="0"/>
        <v>82.21081890100493</v>
      </c>
    </row>
    <row r="42" spans="2:12" ht="14.25">
      <c r="B42" s="153" t="s">
        <v>1713</v>
      </c>
      <c r="C42" s="457" t="s">
        <v>1714</v>
      </c>
      <c r="D42" s="458"/>
      <c r="E42" s="458"/>
      <c r="F42" s="458"/>
      <c r="G42" s="458"/>
      <c r="H42" s="458"/>
      <c r="I42" s="150">
        <v>24</v>
      </c>
      <c r="J42" s="154">
        <v>0</v>
      </c>
      <c r="K42" s="155">
        <v>0</v>
      </c>
      <c r="L42" s="152" t="str">
        <f t="shared" si="0"/>
        <v>-</v>
      </c>
    </row>
    <row r="43" spans="2:12" ht="14.25">
      <c r="B43" s="153" t="s">
        <v>1715</v>
      </c>
      <c r="C43" s="457" t="s">
        <v>1716</v>
      </c>
      <c r="D43" s="458"/>
      <c r="E43" s="458"/>
      <c r="F43" s="458"/>
      <c r="G43" s="458"/>
      <c r="H43" s="458"/>
      <c r="I43" s="150">
        <v>25</v>
      </c>
      <c r="J43" s="154">
        <v>32562</v>
      </c>
      <c r="K43" s="155">
        <v>22276</v>
      </c>
      <c r="L43" s="152">
        <f t="shared" si="0"/>
        <v>68.4110312634359</v>
      </c>
    </row>
    <row r="44" spans="2:12" ht="14.25">
      <c r="B44" s="153" t="s">
        <v>1717</v>
      </c>
      <c r="C44" s="457" t="s">
        <v>1718</v>
      </c>
      <c r="D44" s="458"/>
      <c r="E44" s="458"/>
      <c r="F44" s="458"/>
      <c r="G44" s="458"/>
      <c r="H44" s="458"/>
      <c r="I44" s="150">
        <v>26</v>
      </c>
      <c r="J44" s="154">
        <v>177</v>
      </c>
      <c r="K44" s="155">
        <v>177</v>
      </c>
      <c r="L44" s="152">
        <f t="shared" si="0"/>
        <v>100</v>
      </c>
    </row>
    <row r="45" spans="2:12" ht="14.25">
      <c r="B45" s="153" t="s">
        <v>1719</v>
      </c>
      <c r="C45" s="457" t="s">
        <v>1720</v>
      </c>
      <c r="D45" s="458"/>
      <c r="E45" s="458"/>
      <c r="F45" s="458"/>
      <c r="G45" s="458"/>
      <c r="H45" s="458"/>
      <c r="I45" s="150">
        <v>27</v>
      </c>
      <c r="J45" s="154">
        <v>0</v>
      </c>
      <c r="K45" s="155">
        <v>0</v>
      </c>
      <c r="L45" s="152" t="str">
        <f t="shared" si="0"/>
        <v>-</v>
      </c>
    </row>
    <row r="46" spans="2:12" ht="14.25">
      <c r="B46" s="153" t="s">
        <v>1721</v>
      </c>
      <c r="C46" s="457" t="s">
        <v>1722</v>
      </c>
      <c r="D46" s="458"/>
      <c r="E46" s="458"/>
      <c r="F46" s="458"/>
      <c r="G46" s="458"/>
      <c r="H46" s="458"/>
      <c r="I46" s="150">
        <v>28</v>
      </c>
      <c r="J46" s="154">
        <v>70588</v>
      </c>
      <c r="K46" s="155">
        <v>57556</v>
      </c>
      <c r="L46" s="152">
        <f t="shared" si="0"/>
        <v>81.53793845979487</v>
      </c>
    </row>
    <row r="47" spans="2:12" ht="14.25">
      <c r="B47" s="153" t="s">
        <v>1723</v>
      </c>
      <c r="C47" s="457" t="s">
        <v>2404</v>
      </c>
      <c r="D47" s="458"/>
      <c r="E47" s="458"/>
      <c r="F47" s="458"/>
      <c r="G47" s="458"/>
      <c r="H47" s="458"/>
      <c r="I47" s="150">
        <v>29</v>
      </c>
      <c r="J47" s="154">
        <v>0</v>
      </c>
      <c r="K47" s="155">
        <v>0</v>
      </c>
      <c r="L47" s="152" t="str">
        <f t="shared" si="0"/>
        <v>-</v>
      </c>
    </row>
    <row r="48" spans="2:12" ht="14.25">
      <c r="B48" s="153" t="s">
        <v>2405</v>
      </c>
      <c r="C48" s="457" t="s">
        <v>2406</v>
      </c>
      <c r="D48" s="458"/>
      <c r="E48" s="458"/>
      <c r="F48" s="458"/>
      <c r="G48" s="458"/>
      <c r="H48" s="458"/>
      <c r="I48" s="150">
        <v>30</v>
      </c>
      <c r="J48" s="154">
        <v>65045</v>
      </c>
      <c r="K48" s="155">
        <v>58411</v>
      </c>
      <c r="L48" s="152">
        <f t="shared" si="0"/>
        <v>89.80090706434008</v>
      </c>
    </row>
    <row r="49" spans="2:12" ht="14.25">
      <c r="B49" s="153" t="s">
        <v>2407</v>
      </c>
      <c r="C49" s="457" t="s">
        <v>2408</v>
      </c>
      <c r="D49" s="458"/>
      <c r="E49" s="458"/>
      <c r="F49" s="458"/>
      <c r="G49" s="458"/>
      <c r="H49" s="458"/>
      <c r="I49" s="150">
        <v>31</v>
      </c>
      <c r="J49" s="151">
        <f>SUM(J50:J51)</f>
        <v>165918</v>
      </c>
      <c r="K49" s="151">
        <f>SUM(K50:K51)</f>
        <v>165918</v>
      </c>
      <c r="L49" s="152">
        <f t="shared" si="0"/>
        <v>100</v>
      </c>
    </row>
    <row r="50" spans="2:12" ht="14.25">
      <c r="B50" s="153" t="s">
        <v>2409</v>
      </c>
      <c r="C50" s="457" t="s">
        <v>869</v>
      </c>
      <c r="D50" s="458"/>
      <c r="E50" s="458"/>
      <c r="F50" s="458"/>
      <c r="G50" s="458"/>
      <c r="H50" s="458"/>
      <c r="I50" s="150">
        <v>32</v>
      </c>
      <c r="J50" s="154">
        <v>165918</v>
      </c>
      <c r="K50" s="155">
        <v>165918</v>
      </c>
      <c r="L50" s="152">
        <f t="shared" si="0"/>
        <v>100</v>
      </c>
    </row>
    <row r="51" spans="2:12" ht="14.25">
      <c r="B51" s="153" t="s">
        <v>870</v>
      </c>
      <c r="C51" s="457" t="s">
        <v>871</v>
      </c>
      <c r="D51" s="458"/>
      <c r="E51" s="458"/>
      <c r="F51" s="458"/>
      <c r="G51" s="458"/>
      <c r="H51" s="458"/>
      <c r="I51" s="150">
        <v>33</v>
      </c>
      <c r="J51" s="154">
        <v>0</v>
      </c>
      <c r="K51" s="155">
        <v>0</v>
      </c>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v>0</v>
      </c>
      <c r="K53" s="155">
        <v>0</v>
      </c>
      <c r="L53" s="152" t="str">
        <f t="shared" si="1"/>
        <v>-</v>
      </c>
    </row>
    <row r="54" spans="2:12" ht="14.25">
      <c r="B54" s="153" t="s">
        <v>2305</v>
      </c>
      <c r="C54" s="457" t="s">
        <v>2306</v>
      </c>
      <c r="D54" s="458"/>
      <c r="E54" s="458"/>
      <c r="F54" s="458"/>
      <c r="G54" s="458"/>
      <c r="H54" s="458"/>
      <c r="I54" s="150">
        <v>36</v>
      </c>
      <c r="J54" s="154">
        <v>0</v>
      </c>
      <c r="K54" s="155">
        <v>0</v>
      </c>
      <c r="L54" s="152" t="str">
        <f t="shared" si="1"/>
        <v>-</v>
      </c>
    </row>
    <row r="55" spans="2:12" ht="14.25">
      <c r="B55" s="153" t="s">
        <v>2307</v>
      </c>
      <c r="C55" s="457" t="s">
        <v>2308</v>
      </c>
      <c r="D55" s="458"/>
      <c r="E55" s="458"/>
      <c r="F55" s="458"/>
      <c r="G55" s="458"/>
      <c r="H55" s="458"/>
      <c r="I55" s="150">
        <v>37</v>
      </c>
      <c r="J55" s="154">
        <v>0</v>
      </c>
      <c r="K55" s="155">
        <v>0</v>
      </c>
      <c r="L55" s="152" t="str">
        <f t="shared" si="1"/>
        <v>-</v>
      </c>
    </row>
    <row r="56" spans="2:12" ht="14.25">
      <c r="B56" s="153" t="s">
        <v>2309</v>
      </c>
      <c r="C56" s="457" t="s">
        <v>2310</v>
      </c>
      <c r="D56" s="458"/>
      <c r="E56" s="458"/>
      <c r="F56" s="458"/>
      <c r="G56" s="458"/>
      <c r="H56" s="458"/>
      <c r="I56" s="150">
        <v>38</v>
      </c>
      <c r="J56" s="154">
        <v>0</v>
      </c>
      <c r="K56" s="155">
        <v>0</v>
      </c>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v>0</v>
      </c>
      <c r="K58" s="155">
        <v>0</v>
      </c>
      <c r="L58" s="152" t="str">
        <f t="shared" si="1"/>
        <v>-</v>
      </c>
    </row>
    <row r="59" spans="2:12" ht="14.25">
      <c r="B59" s="153" t="s">
        <v>2315</v>
      </c>
      <c r="C59" s="457" t="s">
        <v>2316</v>
      </c>
      <c r="D59" s="458"/>
      <c r="E59" s="458"/>
      <c r="F59" s="458"/>
      <c r="G59" s="458"/>
      <c r="H59" s="458"/>
      <c r="I59" s="150">
        <v>41</v>
      </c>
      <c r="J59" s="154">
        <v>0</v>
      </c>
      <c r="K59" s="155">
        <v>0</v>
      </c>
      <c r="L59" s="152" t="str">
        <f t="shared" si="1"/>
        <v>-</v>
      </c>
    </row>
    <row r="60" spans="2:12" ht="14.25">
      <c r="B60" s="153" t="s">
        <v>2317</v>
      </c>
      <c r="C60" s="457" t="s">
        <v>2764</v>
      </c>
      <c r="D60" s="458"/>
      <c r="E60" s="458"/>
      <c r="F60" s="458"/>
      <c r="G60" s="458"/>
      <c r="H60" s="458"/>
      <c r="I60" s="150">
        <v>42</v>
      </c>
      <c r="J60" s="151">
        <f>SUM(J61:J63)</f>
        <v>0</v>
      </c>
      <c r="K60" s="151">
        <f>SUM(K61:K63)</f>
        <v>0</v>
      </c>
      <c r="L60" s="152" t="str">
        <f t="shared" si="1"/>
        <v>-</v>
      </c>
    </row>
    <row r="61" spans="2:12" ht="14.25">
      <c r="B61" s="153" t="s">
        <v>2765</v>
      </c>
      <c r="C61" s="457" t="s">
        <v>2766</v>
      </c>
      <c r="D61" s="458"/>
      <c r="E61" s="458"/>
      <c r="F61" s="458"/>
      <c r="G61" s="458"/>
      <c r="H61" s="458"/>
      <c r="I61" s="150">
        <v>43</v>
      </c>
      <c r="J61" s="154">
        <v>0</v>
      </c>
      <c r="K61" s="155">
        <v>0</v>
      </c>
      <c r="L61" s="152" t="str">
        <f t="shared" si="1"/>
        <v>-</v>
      </c>
    </row>
    <row r="62" spans="2:12" ht="14.25">
      <c r="B62" s="153" t="s">
        <v>2767</v>
      </c>
      <c r="C62" s="457" t="s">
        <v>2768</v>
      </c>
      <c r="D62" s="458"/>
      <c r="E62" s="458"/>
      <c r="F62" s="458"/>
      <c r="G62" s="458"/>
      <c r="H62" s="458"/>
      <c r="I62" s="150">
        <v>44</v>
      </c>
      <c r="J62" s="154">
        <v>0</v>
      </c>
      <c r="K62" s="155">
        <v>0</v>
      </c>
      <c r="L62" s="152" t="str">
        <f t="shared" si="1"/>
        <v>-</v>
      </c>
    </row>
    <row r="63" spans="2:12" ht="14.25">
      <c r="B63" s="153" t="s">
        <v>2769</v>
      </c>
      <c r="C63" s="457" t="s">
        <v>2770</v>
      </c>
      <c r="D63" s="458"/>
      <c r="E63" s="458"/>
      <c r="F63" s="458"/>
      <c r="G63" s="458"/>
      <c r="H63" s="458"/>
      <c r="I63" s="150">
        <v>45</v>
      </c>
      <c r="J63" s="154">
        <v>0</v>
      </c>
      <c r="K63" s="155">
        <v>0</v>
      </c>
      <c r="L63" s="152" t="str">
        <f t="shared" si="1"/>
        <v>-</v>
      </c>
    </row>
    <row r="64" spans="2:12" ht="14.25">
      <c r="B64" s="153" t="s">
        <v>2771</v>
      </c>
      <c r="C64" s="457" t="s">
        <v>2772</v>
      </c>
      <c r="D64" s="458"/>
      <c r="E64" s="458"/>
      <c r="F64" s="458"/>
      <c r="G64" s="458"/>
      <c r="H64" s="458"/>
      <c r="I64" s="150">
        <v>46</v>
      </c>
      <c r="J64" s="154">
        <v>97265</v>
      </c>
      <c r="K64" s="155">
        <v>133444</v>
      </c>
      <c r="L64" s="152">
        <f t="shared" si="1"/>
        <v>137.19631933377886</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v>0</v>
      </c>
      <c r="K67" s="155">
        <v>0</v>
      </c>
      <c r="L67" s="152" t="str">
        <f t="shared" si="1"/>
        <v>-</v>
      </c>
    </row>
    <row r="68" spans="2:12" ht="14.25">
      <c r="B68" s="153" t="s">
        <v>2545</v>
      </c>
      <c r="C68" s="457" t="s">
        <v>2778</v>
      </c>
      <c r="D68" s="458"/>
      <c r="E68" s="458"/>
      <c r="F68" s="458"/>
      <c r="G68" s="458"/>
      <c r="H68" s="458"/>
      <c r="I68" s="150">
        <v>50</v>
      </c>
      <c r="J68" s="154">
        <v>0</v>
      </c>
      <c r="K68" s="155">
        <v>0</v>
      </c>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v>0</v>
      </c>
      <c r="K70" s="155">
        <v>0</v>
      </c>
      <c r="L70" s="152" t="str">
        <f t="shared" si="1"/>
        <v>-</v>
      </c>
    </row>
    <row r="71" spans="2:12" ht="14.25">
      <c r="B71" s="153" t="s">
        <v>2783</v>
      </c>
      <c r="C71" s="457" t="s">
        <v>2784</v>
      </c>
      <c r="D71" s="458"/>
      <c r="E71" s="458"/>
      <c r="F71" s="458"/>
      <c r="G71" s="458"/>
      <c r="H71" s="458"/>
      <c r="I71" s="150">
        <v>53</v>
      </c>
      <c r="J71" s="154">
        <v>109295</v>
      </c>
      <c r="K71" s="155">
        <v>131094</v>
      </c>
      <c r="L71" s="152">
        <f t="shared" si="1"/>
        <v>119.94510270369186</v>
      </c>
    </row>
    <row r="72" spans="2:12" ht="14.25">
      <c r="B72" s="153" t="s">
        <v>2785</v>
      </c>
      <c r="C72" s="457" t="s">
        <v>2786</v>
      </c>
      <c r="D72" s="458"/>
      <c r="E72" s="458"/>
      <c r="F72" s="458"/>
      <c r="G72" s="458"/>
      <c r="H72" s="458"/>
      <c r="I72" s="150">
        <v>54</v>
      </c>
      <c r="J72" s="154">
        <v>109295</v>
      </c>
      <c r="K72" s="155">
        <v>131094</v>
      </c>
      <c r="L72" s="152">
        <f t="shared" si="1"/>
        <v>119.94510270369186</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v>0</v>
      </c>
      <c r="K74" s="155">
        <v>0</v>
      </c>
      <c r="L74" s="152" t="str">
        <f t="shared" si="1"/>
        <v>-</v>
      </c>
    </row>
    <row r="75" spans="2:12" ht="14.25">
      <c r="B75" s="153" t="s">
        <v>2920</v>
      </c>
      <c r="C75" s="457" t="s">
        <v>2903</v>
      </c>
      <c r="D75" s="458"/>
      <c r="E75" s="458"/>
      <c r="F75" s="458"/>
      <c r="G75" s="458"/>
      <c r="H75" s="458"/>
      <c r="I75" s="150">
        <v>57</v>
      </c>
      <c r="J75" s="154">
        <v>0</v>
      </c>
      <c r="K75" s="155">
        <v>0</v>
      </c>
      <c r="L75" s="152" t="str">
        <f t="shared" si="1"/>
        <v>-</v>
      </c>
    </row>
    <row r="76" spans="2:12" ht="14.25">
      <c r="B76" s="153" t="s">
        <v>2921</v>
      </c>
      <c r="C76" s="457" t="s">
        <v>2904</v>
      </c>
      <c r="D76" s="458"/>
      <c r="E76" s="458"/>
      <c r="F76" s="458"/>
      <c r="G76" s="458"/>
      <c r="H76" s="458"/>
      <c r="I76" s="150">
        <v>58</v>
      </c>
      <c r="J76" s="154">
        <v>0</v>
      </c>
      <c r="K76" s="155">
        <v>0</v>
      </c>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v>0</v>
      </c>
      <c r="K78" s="155">
        <v>0</v>
      </c>
      <c r="L78" s="152" t="str">
        <f t="shared" si="1"/>
        <v>-</v>
      </c>
    </row>
    <row r="79" spans="2:12" ht="14.25">
      <c r="B79" s="153" t="s">
        <v>2792</v>
      </c>
      <c r="C79" s="457" t="s">
        <v>2793</v>
      </c>
      <c r="D79" s="458"/>
      <c r="E79" s="458"/>
      <c r="F79" s="458"/>
      <c r="G79" s="458"/>
      <c r="H79" s="458"/>
      <c r="I79" s="150">
        <v>61</v>
      </c>
      <c r="J79" s="154">
        <v>0</v>
      </c>
      <c r="K79" s="155">
        <v>0</v>
      </c>
      <c r="L79" s="152" t="str">
        <f t="shared" si="1"/>
        <v>-</v>
      </c>
    </row>
    <row r="80" spans="2:12" ht="14.25">
      <c r="B80" s="153" t="s">
        <v>2923</v>
      </c>
      <c r="C80" s="457" t="s">
        <v>2906</v>
      </c>
      <c r="D80" s="458"/>
      <c r="E80" s="458"/>
      <c r="F80" s="458"/>
      <c r="G80" s="458"/>
      <c r="H80" s="458"/>
      <c r="I80" s="150">
        <v>62</v>
      </c>
      <c r="J80" s="154">
        <v>0</v>
      </c>
      <c r="K80" s="155">
        <v>0</v>
      </c>
      <c r="L80" s="152" t="str">
        <f t="shared" si="1"/>
        <v>-</v>
      </c>
    </row>
    <row r="81" spans="2:12" ht="14.25">
      <c r="B81" s="153" t="s">
        <v>2924</v>
      </c>
      <c r="C81" s="457" t="s">
        <v>2907</v>
      </c>
      <c r="D81" s="458"/>
      <c r="E81" s="458"/>
      <c r="F81" s="458"/>
      <c r="G81" s="458"/>
      <c r="H81" s="458"/>
      <c r="I81" s="150">
        <v>63</v>
      </c>
      <c r="J81" s="154">
        <v>0</v>
      </c>
      <c r="K81" s="155">
        <v>0</v>
      </c>
      <c r="L81" s="152" t="str">
        <f t="shared" si="1"/>
        <v>-</v>
      </c>
    </row>
    <row r="82" spans="2:12" ht="14.25">
      <c r="B82" s="149" t="s">
        <v>2794</v>
      </c>
      <c r="C82" s="459" t="s">
        <v>2795</v>
      </c>
      <c r="D82" s="460"/>
      <c r="E82" s="460"/>
      <c r="F82" s="460"/>
      <c r="G82" s="460"/>
      <c r="H82" s="460"/>
      <c r="I82" s="150">
        <v>64</v>
      </c>
      <c r="J82" s="151">
        <f>J83+J88+J91</f>
        <v>123839</v>
      </c>
      <c r="K82" s="151">
        <f>K83+K88+K91</f>
        <v>0</v>
      </c>
      <c r="L82" s="152">
        <f t="shared" si="1"/>
        <v>0</v>
      </c>
    </row>
    <row r="83" spans="2:12" ht="14.25">
      <c r="B83" s="153" t="s">
        <v>2796</v>
      </c>
      <c r="C83" s="457" t="s">
        <v>2797</v>
      </c>
      <c r="D83" s="458"/>
      <c r="E83" s="458"/>
      <c r="F83" s="458"/>
      <c r="G83" s="458"/>
      <c r="H83" s="458"/>
      <c r="I83" s="150">
        <v>65</v>
      </c>
      <c r="J83" s="151">
        <f>SUM(J84:J87)</f>
        <v>123839</v>
      </c>
      <c r="K83" s="151">
        <f>SUM(K84:K87)</f>
        <v>0</v>
      </c>
      <c r="L83" s="152">
        <f aca="true" t="shared" si="2" ref="L83:L114">IF(J83&gt;0,IF(K83/J83&gt;=100,"&gt;&gt;100",K83/J83*100),"-")</f>
        <v>0</v>
      </c>
    </row>
    <row r="84" spans="2:12" ht="14.25">
      <c r="B84" s="153" t="s">
        <v>2119</v>
      </c>
      <c r="C84" s="457" t="s">
        <v>2120</v>
      </c>
      <c r="D84" s="458"/>
      <c r="E84" s="458"/>
      <c r="F84" s="458"/>
      <c r="G84" s="458"/>
      <c r="H84" s="458"/>
      <c r="I84" s="150">
        <v>66</v>
      </c>
      <c r="J84" s="154">
        <v>123839</v>
      </c>
      <c r="K84" s="155">
        <v>0</v>
      </c>
      <c r="L84" s="152">
        <f t="shared" si="2"/>
        <v>0</v>
      </c>
    </row>
    <row r="85" spans="2:12" ht="14.25">
      <c r="B85" s="153" t="s">
        <v>2121</v>
      </c>
      <c r="C85" s="457" t="s">
        <v>2122</v>
      </c>
      <c r="D85" s="458"/>
      <c r="E85" s="458"/>
      <c r="F85" s="458"/>
      <c r="G85" s="458"/>
      <c r="H85" s="458"/>
      <c r="I85" s="150">
        <v>67</v>
      </c>
      <c r="J85" s="154">
        <v>0</v>
      </c>
      <c r="K85" s="155">
        <v>0</v>
      </c>
      <c r="L85" s="152" t="str">
        <f t="shared" si="2"/>
        <v>-</v>
      </c>
    </row>
    <row r="86" spans="2:12" ht="14.25">
      <c r="B86" s="153" t="s">
        <v>2123</v>
      </c>
      <c r="C86" s="457" t="s">
        <v>2124</v>
      </c>
      <c r="D86" s="458"/>
      <c r="E86" s="458"/>
      <c r="F86" s="458"/>
      <c r="G86" s="458"/>
      <c r="H86" s="458"/>
      <c r="I86" s="150">
        <v>68</v>
      </c>
      <c r="J86" s="154">
        <v>0</v>
      </c>
      <c r="K86" s="155">
        <v>0</v>
      </c>
      <c r="L86" s="152" t="str">
        <f t="shared" si="2"/>
        <v>-</v>
      </c>
    </row>
    <row r="87" spans="2:12" ht="14.25">
      <c r="B87" s="153" t="s">
        <v>2125</v>
      </c>
      <c r="C87" s="457" t="s">
        <v>2126</v>
      </c>
      <c r="D87" s="458"/>
      <c r="E87" s="458"/>
      <c r="F87" s="458"/>
      <c r="G87" s="458"/>
      <c r="H87" s="458"/>
      <c r="I87" s="150">
        <v>69</v>
      </c>
      <c r="J87" s="154">
        <v>0</v>
      </c>
      <c r="K87" s="155">
        <v>0</v>
      </c>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v>0</v>
      </c>
      <c r="K89" s="155">
        <v>0</v>
      </c>
      <c r="L89" s="152" t="str">
        <f t="shared" si="2"/>
        <v>-</v>
      </c>
    </row>
    <row r="90" spans="2:12" ht="14.25">
      <c r="B90" s="153" t="s">
        <v>2131</v>
      </c>
      <c r="C90" s="457" t="s">
        <v>2132</v>
      </c>
      <c r="D90" s="458"/>
      <c r="E90" s="458"/>
      <c r="F90" s="458"/>
      <c r="G90" s="458"/>
      <c r="H90" s="458"/>
      <c r="I90" s="150">
        <v>72</v>
      </c>
      <c r="J90" s="154">
        <v>0</v>
      </c>
      <c r="K90" s="155">
        <v>0</v>
      </c>
      <c r="L90" s="152" t="str">
        <f t="shared" si="2"/>
        <v>-</v>
      </c>
    </row>
    <row r="91" spans="2:12" ht="14.25">
      <c r="B91" s="153" t="s">
        <v>2133</v>
      </c>
      <c r="C91" s="457" t="s">
        <v>2134</v>
      </c>
      <c r="D91" s="458"/>
      <c r="E91" s="458"/>
      <c r="F91" s="458"/>
      <c r="G91" s="458"/>
      <c r="H91" s="458"/>
      <c r="I91" s="150">
        <v>73</v>
      </c>
      <c r="J91" s="154">
        <v>0</v>
      </c>
      <c r="K91" s="155">
        <v>0</v>
      </c>
      <c r="L91" s="152" t="str">
        <f t="shared" si="2"/>
        <v>-</v>
      </c>
    </row>
    <row r="92" spans="2:12" ht="14.25">
      <c r="B92" s="149">
        <v>1</v>
      </c>
      <c r="C92" s="459" t="s">
        <v>2135</v>
      </c>
      <c r="D92" s="460"/>
      <c r="E92" s="460"/>
      <c r="F92" s="460"/>
      <c r="G92" s="460"/>
      <c r="H92" s="460"/>
      <c r="I92" s="150">
        <v>74</v>
      </c>
      <c r="J92" s="151">
        <f>J93+J101+J118+J123+J143+J151+J160</f>
        <v>353433</v>
      </c>
      <c r="K92" s="151">
        <f>K93+K101+K118+K123+K143+K151+K160</f>
        <v>275566</v>
      </c>
      <c r="L92" s="152">
        <f t="shared" si="2"/>
        <v>77.9683843896863</v>
      </c>
    </row>
    <row r="93" spans="2:12" ht="14.25">
      <c r="B93" s="153">
        <v>11</v>
      </c>
      <c r="C93" s="457" t="s">
        <v>2136</v>
      </c>
      <c r="D93" s="458"/>
      <c r="E93" s="458"/>
      <c r="F93" s="458"/>
      <c r="G93" s="458"/>
      <c r="H93" s="458"/>
      <c r="I93" s="150">
        <v>75</v>
      </c>
      <c r="J93" s="151">
        <f>J94+J98+J99+J100</f>
        <v>252992</v>
      </c>
      <c r="K93" s="151">
        <f>K94+K98+K99+K100</f>
        <v>156926</v>
      </c>
      <c r="L93" s="152">
        <f t="shared" si="2"/>
        <v>62.028048317733365</v>
      </c>
    </row>
    <row r="94" spans="2:12" ht="14.25">
      <c r="B94" s="153">
        <v>111</v>
      </c>
      <c r="C94" s="457" t="s">
        <v>2137</v>
      </c>
      <c r="D94" s="458"/>
      <c r="E94" s="458"/>
      <c r="F94" s="458"/>
      <c r="G94" s="458"/>
      <c r="H94" s="458"/>
      <c r="I94" s="150">
        <v>76</v>
      </c>
      <c r="J94" s="151">
        <f>SUM(J95:J97)</f>
        <v>250675</v>
      </c>
      <c r="K94" s="151">
        <f>SUM(K95:K97)</f>
        <v>156197</v>
      </c>
      <c r="L94" s="152">
        <f t="shared" si="2"/>
        <v>62.31056148399322</v>
      </c>
    </row>
    <row r="95" spans="2:12" ht="14.25">
      <c r="B95" s="153">
        <v>1111</v>
      </c>
      <c r="C95" s="457" t="s">
        <v>2138</v>
      </c>
      <c r="D95" s="458"/>
      <c r="E95" s="458"/>
      <c r="F95" s="458"/>
      <c r="G95" s="458"/>
      <c r="H95" s="458"/>
      <c r="I95" s="150">
        <v>77</v>
      </c>
      <c r="J95" s="154">
        <v>250675</v>
      </c>
      <c r="K95" s="155">
        <v>156197</v>
      </c>
      <c r="L95" s="152">
        <f t="shared" si="2"/>
        <v>62.31056148399322</v>
      </c>
    </row>
    <row r="96" spans="2:12" ht="14.25">
      <c r="B96" s="153">
        <v>1112</v>
      </c>
      <c r="C96" s="457" t="s">
        <v>2139</v>
      </c>
      <c r="D96" s="458"/>
      <c r="E96" s="458"/>
      <c r="F96" s="458"/>
      <c r="G96" s="458"/>
      <c r="H96" s="458"/>
      <c r="I96" s="150">
        <v>78</v>
      </c>
      <c r="J96" s="154">
        <v>0</v>
      </c>
      <c r="K96" s="155">
        <v>0</v>
      </c>
      <c r="L96" s="152" t="str">
        <f t="shared" si="2"/>
        <v>-</v>
      </c>
    </row>
    <row r="97" spans="2:12" ht="14.25">
      <c r="B97" s="153">
        <v>1113</v>
      </c>
      <c r="C97" s="457" t="s">
        <v>2140</v>
      </c>
      <c r="D97" s="458"/>
      <c r="E97" s="458"/>
      <c r="F97" s="458"/>
      <c r="G97" s="458"/>
      <c r="H97" s="458"/>
      <c r="I97" s="150">
        <v>79</v>
      </c>
      <c r="J97" s="154">
        <v>0</v>
      </c>
      <c r="K97" s="155">
        <v>0</v>
      </c>
      <c r="L97" s="152" t="str">
        <f t="shared" si="2"/>
        <v>-</v>
      </c>
    </row>
    <row r="98" spans="2:12" ht="14.25">
      <c r="B98" s="153">
        <v>112</v>
      </c>
      <c r="C98" s="457" t="s">
        <v>2141</v>
      </c>
      <c r="D98" s="458"/>
      <c r="E98" s="458"/>
      <c r="F98" s="458"/>
      <c r="G98" s="458"/>
      <c r="H98" s="458"/>
      <c r="I98" s="150">
        <v>80</v>
      </c>
      <c r="J98" s="154">
        <v>0</v>
      </c>
      <c r="K98" s="155">
        <v>0</v>
      </c>
      <c r="L98" s="152" t="str">
        <f t="shared" si="2"/>
        <v>-</v>
      </c>
    </row>
    <row r="99" spans="2:12" ht="14.25">
      <c r="B99" s="153">
        <v>113</v>
      </c>
      <c r="C99" s="457" t="s">
        <v>2142</v>
      </c>
      <c r="D99" s="458"/>
      <c r="E99" s="458"/>
      <c r="F99" s="458"/>
      <c r="G99" s="458"/>
      <c r="H99" s="458"/>
      <c r="I99" s="150">
        <v>81</v>
      </c>
      <c r="J99" s="154">
        <v>2317</v>
      </c>
      <c r="K99" s="155">
        <v>729</v>
      </c>
      <c r="L99" s="152">
        <f t="shared" si="2"/>
        <v>31.46309883470004</v>
      </c>
    </row>
    <row r="100" spans="2:12" ht="14.25">
      <c r="B100" s="153">
        <v>114</v>
      </c>
      <c r="C100" s="457" t="s">
        <v>2143</v>
      </c>
      <c r="D100" s="458"/>
      <c r="E100" s="458"/>
      <c r="F100" s="458"/>
      <c r="G100" s="458"/>
      <c r="H100" s="458"/>
      <c r="I100" s="150">
        <v>82</v>
      </c>
      <c r="J100" s="154">
        <v>0</v>
      </c>
      <c r="K100" s="155">
        <v>0</v>
      </c>
      <c r="L100" s="152" t="str">
        <f t="shared" si="2"/>
        <v>-</v>
      </c>
    </row>
    <row r="101" spans="2:12" ht="27.75" customHeight="1">
      <c r="B101" s="153">
        <v>12</v>
      </c>
      <c r="C101" s="457" t="s">
        <v>643</v>
      </c>
      <c r="D101" s="468"/>
      <c r="E101" s="468"/>
      <c r="F101" s="468"/>
      <c r="G101" s="468"/>
      <c r="H101" s="468"/>
      <c r="I101" s="150">
        <v>83</v>
      </c>
      <c r="J101" s="151">
        <f>J102+J105+J106+J107+J113</f>
        <v>3513</v>
      </c>
      <c r="K101" s="151">
        <f>K102+K105+K106+K107+K113</f>
        <v>4578</v>
      </c>
      <c r="L101" s="152">
        <f t="shared" si="2"/>
        <v>130.31596925704525</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v>0</v>
      </c>
      <c r="K103" s="155">
        <v>0</v>
      </c>
      <c r="L103" s="152" t="str">
        <f t="shared" si="2"/>
        <v>-</v>
      </c>
    </row>
    <row r="104" spans="2:12" ht="14.25">
      <c r="B104" s="153">
        <v>1212</v>
      </c>
      <c r="C104" s="457" t="s">
        <v>2146</v>
      </c>
      <c r="D104" s="458"/>
      <c r="E104" s="458"/>
      <c r="F104" s="458"/>
      <c r="G104" s="458"/>
      <c r="H104" s="458"/>
      <c r="I104" s="150">
        <v>86</v>
      </c>
      <c r="J104" s="154">
        <v>0</v>
      </c>
      <c r="K104" s="155">
        <v>0</v>
      </c>
      <c r="L104" s="152" t="str">
        <f t="shared" si="2"/>
        <v>-</v>
      </c>
    </row>
    <row r="105" spans="2:12" ht="14.25">
      <c r="B105" s="153">
        <v>122</v>
      </c>
      <c r="C105" s="457" t="s">
        <v>2147</v>
      </c>
      <c r="D105" s="458"/>
      <c r="E105" s="458"/>
      <c r="F105" s="458"/>
      <c r="G105" s="458"/>
      <c r="H105" s="458"/>
      <c r="I105" s="150">
        <v>87</v>
      </c>
      <c r="J105" s="154">
        <v>3411</v>
      </c>
      <c r="K105" s="155">
        <v>3411</v>
      </c>
      <c r="L105" s="152">
        <f t="shared" si="2"/>
        <v>100</v>
      </c>
    </row>
    <row r="106" spans="2:12" ht="14.25">
      <c r="B106" s="153">
        <v>123</v>
      </c>
      <c r="C106" s="457" t="s">
        <v>2148</v>
      </c>
      <c r="D106" s="458"/>
      <c r="E106" s="458"/>
      <c r="F106" s="458"/>
      <c r="G106" s="458"/>
      <c r="H106" s="458"/>
      <c r="I106" s="150">
        <v>88</v>
      </c>
      <c r="J106" s="154">
        <v>0</v>
      </c>
      <c r="K106" s="155">
        <v>0</v>
      </c>
      <c r="L106" s="152" t="str">
        <f t="shared" si="2"/>
        <v>-</v>
      </c>
    </row>
    <row r="107" spans="2:12" ht="14.25">
      <c r="B107" s="153">
        <v>124</v>
      </c>
      <c r="C107" s="457" t="s">
        <v>2149</v>
      </c>
      <c r="D107" s="458"/>
      <c r="E107" s="458"/>
      <c r="F107" s="458"/>
      <c r="G107" s="458"/>
      <c r="H107" s="458"/>
      <c r="I107" s="150">
        <v>89</v>
      </c>
      <c r="J107" s="151">
        <f>SUM(J108:J112)</f>
        <v>102</v>
      </c>
      <c r="K107" s="151">
        <f>SUM(K108:K112)</f>
        <v>0</v>
      </c>
      <c r="L107" s="152">
        <f t="shared" si="2"/>
        <v>0</v>
      </c>
    </row>
    <row r="108" spans="2:12" ht="14.25">
      <c r="B108" s="153">
        <v>1241</v>
      </c>
      <c r="C108" s="457" t="s">
        <v>1520</v>
      </c>
      <c r="D108" s="458"/>
      <c r="E108" s="458"/>
      <c r="F108" s="458"/>
      <c r="G108" s="458"/>
      <c r="H108" s="458"/>
      <c r="I108" s="150">
        <v>90</v>
      </c>
      <c r="J108" s="154">
        <v>102</v>
      </c>
      <c r="K108" s="155">
        <v>0</v>
      </c>
      <c r="L108" s="152">
        <f t="shared" si="2"/>
        <v>0</v>
      </c>
    </row>
    <row r="109" spans="2:12" ht="14.25">
      <c r="B109" s="153">
        <v>1242</v>
      </c>
      <c r="C109" s="457" t="s">
        <v>2150</v>
      </c>
      <c r="D109" s="458"/>
      <c r="E109" s="458"/>
      <c r="F109" s="458"/>
      <c r="G109" s="458"/>
      <c r="H109" s="458"/>
      <c r="I109" s="150">
        <v>91</v>
      </c>
      <c r="J109" s="154">
        <v>0</v>
      </c>
      <c r="K109" s="155">
        <v>0</v>
      </c>
      <c r="L109" s="152" t="str">
        <f t="shared" si="2"/>
        <v>-</v>
      </c>
    </row>
    <row r="110" spans="2:12" ht="14.25">
      <c r="B110" s="153">
        <v>1243</v>
      </c>
      <c r="C110" s="457" t="s">
        <v>2151</v>
      </c>
      <c r="D110" s="458"/>
      <c r="E110" s="458"/>
      <c r="F110" s="458"/>
      <c r="G110" s="458"/>
      <c r="H110" s="458"/>
      <c r="I110" s="150">
        <v>92</v>
      </c>
      <c r="J110" s="154">
        <v>0</v>
      </c>
      <c r="K110" s="155">
        <v>0</v>
      </c>
      <c r="L110" s="152" t="str">
        <f t="shared" si="2"/>
        <v>-</v>
      </c>
    </row>
    <row r="111" spans="2:12" ht="14.25">
      <c r="B111" s="153">
        <v>1244</v>
      </c>
      <c r="C111" s="457" t="s">
        <v>2152</v>
      </c>
      <c r="D111" s="458"/>
      <c r="E111" s="458"/>
      <c r="F111" s="458"/>
      <c r="G111" s="458"/>
      <c r="H111" s="458"/>
      <c r="I111" s="150">
        <v>93</v>
      </c>
      <c r="J111" s="154">
        <v>0</v>
      </c>
      <c r="K111" s="155">
        <v>0</v>
      </c>
      <c r="L111" s="152" t="str">
        <f t="shared" si="2"/>
        <v>-</v>
      </c>
    </row>
    <row r="112" spans="2:12" ht="14.25">
      <c r="B112" s="153">
        <v>1245</v>
      </c>
      <c r="C112" s="457" t="s">
        <v>2153</v>
      </c>
      <c r="D112" s="458"/>
      <c r="E112" s="458"/>
      <c r="F112" s="458"/>
      <c r="G112" s="458"/>
      <c r="H112" s="458"/>
      <c r="I112" s="150">
        <v>94</v>
      </c>
      <c r="J112" s="154">
        <v>0</v>
      </c>
      <c r="K112" s="155">
        <v>0</v>
      </c>
      <c r="L112" s="152" t="str">
        <f t="shared" si="2"/>
        <v>-</v>
      </c>
    </row>
    <row r="113" spans="2:12" ht="14.25">
      <c r="B113" s="153">
        <v>129</v>
      </c>
      <c r="C113" s="457" t="s">
        <v>2154</v>
      </c>
      <c r="D113" s="458"/>
      <c r="E113" s="458"/>
      <c r="F113" s="458"/>
      <c r="G113" s="458"/>
      <c r="H113" s="458"/>
      <c r="I113" s="150">
        <v>95</v>
      </c>
      <c r="J113" s="151">
        <f>SUM(J114:J117)</f>
        <v>0</v>
      </c>
      <c r="K113" s="151">
        <f>SUM(K114:K117)</f>
        <v>1167</v>
      </c>
      <c r="L113" s="152" t="str">
        <f t="shared" si="2"/>
        <v>-</v>
      </c>
    </row>
    <row r="114" spans="2:12" ht="14.25">
      <c r="B114" s="153">
        <v>1291</v>
      </c>
      <c r="C114" s="457" t="s">
        <v>2155</v>
      </c>
      <c r="D114" s="458"/>
      <c r="E114" s="458"/>
      <c r="F114" s="458"/>
      <c r="G114" s="458"/>
      <c r="H114" s="458"/>
      <c r="I114" s="150">
        <v>96</v>
      </c>
      <c r="J114" s="154">
        <v>0</v>
      </c>
      <c r="K114" s="155">
        <v>0</v>
      </c>
      <c r="L114" s="152" t="str">
        <f t="shared" si="2"/>
        <v>-</v>
      </c>
    </row>
    <row r="115" spans="2:12" ht="14.25">
      <c r="B115" s="153">
        <v>1292</v>
      </c>
      <c r="C115" s="457" t="s">
        <v>2156</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2157</v>
      </c>
      <c r="D116" s="458"/>
      <c r="E116" s="458"/>
      <c r="F116" s="458"/>
      <c r="G116" s="458"/>
      <c r="H116" s="458"/>
      <c r="I116" s="150">
        <v>98</v>
      </c>
      <c r="J116" s="154">
        <v>0</v>
      </c>
      <c r="K116" s="155">
        <v>1167</v>
      </c>
      <c r="L116" s="152" t="str">
        <f t="shared" si="3"/>
        <v>-</v>
      </c>
    </row>
    <row r="117" spans="2:12" ht="14.25">
      <c r="B117" s="153">
        <v>1294</v>
      </c>
      <c r="C117" s="457" t="s">
        <v>2158</v>
      </c>
      <c r="D117" s="458"/>
      <c r="E117" s="458"/>
      <c r="F117" s="458"/>
      <c r="G117" s="458"/>
      <c r="H117" s="458"/>
      <c r="I117" s="150">
        <v>99</v>
      </c>
      <c r="J117" s="154">
        <v>0</v>
      </c>
      <c r="K117" s="155">
        <v>0</v>
      </c>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v>0</v>
      </c>
      <c r="K119" s="155">
        <v>0</v>
      </c>
      <c r="L119" s="152" t="str">
        <f t="shared" si="3"/>
        <v>-</v>
      </c>
    </row>
    <row r="120" spans="2:12" ht="14.25">
      <c r="B120" s="153">
        <v>132</v>
      </c>
      <c r="C120" s="457" t="s">
        <v>2161</v>
      </c>
      <c r="D120" s="458"/>
      <c r="E120" s="458"/>
      <c r="F120" s="458"/>
      <c r="G120" s="458"/>
      <c r="H120" s="458"/>
      <c r="I120" s="150">
        <v>102</v>
      </c>
      <c r="J120" s="154">
        <v>0</v>
      </c>
      <c r="K120" s="155">
        <v>0</v>
      </c>
      <c r="L120" s="152" t="str">
        <f t="shared" si="3"/>
        <v>-</v>
      </c>
    </row>
    <row r="121" spans="2:12" ht="14.25">
      <c r="B121" s="153">
        <v>133</v>
      </c>
      <c r="C121" s="457" t="s">
        <v>2162</v>
      </c>
      <c r="D121" s="458"/>
      <c r="E121" s="458"/>
      <c r="F121" s="458"/>
      <c r="G121" s="458"/>
      <c r="H121" s="458"/>
      <c r="I121" s="150">
        <v>103</v>
      </c>
      <c r="J121" s="154">
        <v>0</v>
      </c>
      <c r="K121" s="155">
        <v>0</v>
      </c>
      <c r="L121" s="152" t="str">
        <f t="shared" si="3"/>
        <v>-</v>
      </c>
    </row>
    <row r="122" spans="2:12" ht="14.25">
      <c r="B122" s="153">
        <v>139</v>
      </c>
      <c r="C122" s="457" t="s">
        <v>2163</v>
      </c>
      <c r="D122" s="458"/>
      <c r="E122" s="458"/>
      <c r="F122" s="458"/>
      <c r="G122" s="458"/>
      <c r="H122" s="458"/>
      <c r="I122" s="150">
        <v>104</v>
      </c>
      <c r="J122" s="154">
        <v>0</v>
      </c>
      <c r="K122" s="155">
        <v>0</v>
      </c>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v>0</v>
      </c>
      <c r="K125" s="155">
        <v>0</v>
      </c>
      <c r="L125" s="152" t="str">
        <f t="shared" si="3"/>
        <v>-</v>
      </c>
    </row>
    <row r="126" spans="2:12" ht="14.25">
      <c r="B126" s="153">
        <v>1412</v>
      </c>
      <c r="C126" s="457" t="s">
        <v>1212</v>
      </c>
      <c r="D126" s="458"/>
      <c r="E126" s="458"/>
      <c r="F126" s="458"/>
      <c r="G126" s="458"/>
      <c r="H126" s="458"/>
      <c r="I126" s="150">
        <v>108</v>
      </c>
      <c r="J126" s="154">
        <v>0</v>
      </c>
      <c r="K126" s="155">
        <v>0</v>
      </c>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v>0</v>
      </c>
      <c r="K128" s="155">
        <v>0</v>
      </c>
      <c r="L128" s="152" t="str">
        <f t="shared" si="3"/>
        <v>-</v>
      </c>
    </row>
    <row r="129" spans="2:12" ht="14.25">
      <c r="B129" s="153">
        <v>1422</v>
      </c>
      <c r="C129" s="457" t="s">
        <v>1215</v>
      </c>
      <c r="D129" s="458"/>
      <c r="E129" s="458"/>
      <c r="F129" s="458"/>
      <c r="G129" s="458"/>
      <c r="H129" s="458"/>
      <c r="I129" s="150">
        <v>111</v>
      </c>
      <c r="J129" s="154">
        <v>0</v>
      </c>
      <c r="K129" s="155">
        <v>0</v>
      </c>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v>0</v>
      </c>
      <c r="K131" s="155">
        <v>0</v>
      </c>
      <c r="L131" s="152" t="str">
        <f t="shared" si="3"/>
        <v>-</v>
      </c>
    </row>
    <row r="132" spans="2:12" ht="14.25">
      <c r="B132" s="153">
        <v>1432</v>
      </c>
      <c r="C132" s="457" t="s">
        <v>1218</v>
      </c>
      <c r="D132" s="458"/>
      <c r="E132" s="458"/>
      <c r="F132" s="458"/>
      <c r="G132" s="458"/>
      <c r="H132" s="458"/>
      <c r="I132" s="150">
        <v>114</v>
      </c>
      <c r="J132" s="154">
        <v>0</v>
      </c>
      <c r="K132" s="155">
        <v>0</v>
      </c>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v>0</v>
      </c>
      <c r="K134" s="155">
        <v>0</v>
      </c>
      <c r="L134" s="152" t="str">
        <f t="shared" si="3"/>
        <v>-</v>
      </c>
    </row>
    <row r="135" spans="2:12" ht="14.25">
      <c r="B135" s="153">
        <v>1442</v>
      </c>
      <c r="C135" s="457" t="s">
        <v>2074</v>
      </c>
      <c r="D135" s="458"/>
      <c r="E135" s="458"/>
      <c r="F135" s="458"/>
      <c r="G135" s="458"/>
      <c r="H135" s="458"/>
      <c r="I135" s="150">
        <v>117</v>
      </c>
      <c r="J135" s="154">
        <v>0</v>
      </c>
      <c r="K135" s="155">
        <v>0</v>
      </c>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v>0</v>
      </c>
      <c r="K137" s="155">
        <v>0</v>
      </c>
      <c r="L137" s="152" t="str">
        <f t="shared" si="3"/>
        <v>-</v>
      </c>
    </row>
    <row r="138" spans="2:12" ht="14.25">
      <c r="B138" s="153">
        <v>1452</v>
      </c>
      <c r="C138" s="457" t="s">
        <v>2077</v>
      </c>
      <c r="D138" s="458"/>
      <c r="E138" s="458"/>
      <c r="F138" s="458"/>
      <c r="G138" s="458"/>
      <c r="H138" s="458"/>
      <c r="I138" s="150">
        <v>120</v>
      </c>
      <c r="J138" s="154">
        <v>0</v>
      </c>
      <c r="K138" s="155">
        <v>0</v>
      </c>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v>0</v>
      </c>
      <c r="K140" s="155">
        <v>0</v>
      </c>
      <c r="L140" s="152" t="str">
        <f t="shared" si="3"/>
        <v>-</v>
      </c>
    </row>
    <row r="141" spans="2:12" ht="14.25">
      <c r="B141" s="153">
        <v>1462</v>
      </c>
      <c r="C141" s="457" t="s">
        <v>2080</v>
      </c>
      <c r="D141" s="458"/>
      <c r="E141" s="458"/>
      <c r="F141" s="458"/>
      <c r="G141" s="458"/>
      <c r="H141" s="458"/>
      <c r="I141" s="150">
        <v>123</v>
      </c>
      <c r="J141" s="154">
        <v>0</v>
      </c>
      <c r="K141" s="155">
        <v>0</v>
      </c>
      <c r="L141" s="152" t="str">
        <f t="shared" si="3"/>
        <v>-</v>
      </c>
    </row>
    <row r="142" spans="2:12" ht="14.25">
      <c r="B142" s="153">
        <v>149</v>
      </c>
      <c r="C142" s="457" t="s">
        <v>2081</v>
      </c>
      <c r="D142" s="458"/>
      <c r="E142" s="458"/>
      <c r="F142" s="458"/>
      <c r="G142" s="458"/>
      <c r="H142" s="458"/>
      <c r="I142" s="150">
        <v>124</v>
      </c>
      <c r="J142" s="154">
        <v>0</v>
      </c>
      <c r="K142" s="155">
        <v>0</v>
      </c>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v>0</v>
      </c>
      <c r="K145" s="155">
        <v>0</v>
      </c>
      <c r="L145" s="152" t="str">
        <f t="shared" si="3"/>
        <v>-</v>
      </c>
    </row>
    <row r="146" spans="2:12" ht="14.25">
      <c r="B146" s="153">
        <v>1512</v>
      </c>
      <c r="C146" s="457" t="s">
        <v>2085</v>
      </c>
      <c r="D146" s="458"/>
      <c r="E146" s="458"/>
      <c r="F146" s="458"/>
      <c r="G146" s="458"/>
      <c r="H146" s="458"/>
      <c r="I146" s="150">
        <v>128</v>
      </c>
      <c r="J146" s="154">
        <v>0</v>
      </c>
      <c r="K146" s="155">
        <v>0</v>
      </c>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2087</v>
      </c>
      <c r="D148" s="458"/>
      <c r="E148" s="458"/>
      <c r="F148" s="458"/>
      <c r="G148" s="458"/>
      <c r="H148" s="458"/>
      <c r="I148" s="150">
        <v>130</v>
      </c>
      <c r="J148" s="154">
        <v>0</v>
      </c>
      <c r="K148" s="155">
        <v>0</v>
      </c>
      <c r="L148" s="152" t="str">
        <f t="shared" si="4"/>
        <v>-</v>
      </c>
    </row>
    <row r="149" spans="2:12" ht="14.25">
      <c r="B149" s="153">
        <v>1522</v>
      </c>
      <c r="C149" s="457" t="s">
        <v>390</v>
      </c>
      <c r="D149" s="458"/>
      <c r="E149" s="458"/>
      <c r="F149" s="458"/>
      <c r="G149" s="458"/>
      <c r="H149" s="458"/>
      <c r="I149" s="150">
        <v>131</v>
      </c>
      <c r="J149" s="154">
        <v>0</v>
      </c>
      <c r="K149" s="155">
        <v>0</v>
      </c>
      <c r="L149" s="152" t="str">
        <f t="shared" si="4"/>
        <v>-</v>
      </c>
    </row>
    <row r="150" spans="2:12" ht="14.25">
      <c r="B150" s="153">
        <v>159</v>
      </c>
      <c r="C150" s="457" t="s">
        <v>1548</v>
      </c>
      <c r="D150" s="458"/>
      <c r="E150" s="458"/>
      <c r="F150" s="458"/>
      <c r="G150" s="458"/>
      <c r="H150" s="458"/>
      <c r="I150" s="150">
        <v>132</v>
      </c>
      <c r="J150" s="154">
        <v>0</v>
      </c>
      <c r="K150" s="155">
        <v>0</v>
      </c>
      <c r="L150" s="152" t="str">
        <f t="shared" si="4"/>
        <v>-</v>
      </c>
    </row>
    <row r="151" spans="2:12" ht="14.25">
      <c r="B151" s="153">
        <v>16</v>
      </c>
      <c r="C151" s="457" t="s">
        <v>1549</v>
      </c>
      <c r="D151" s="458"/>
      <c r="E151" s="458"/>
      <c r="F151" s="458"/>
      <c r="G151" s="458"/>
      <c r="H151" s="458"/>
      <c r="I151" s="150">
        <v>133</v>
      </c>
      <c r="J151" s="151">
        <f>SUM(J152:J155)+J158-J159</f>
        <v>96928</v>
      </c>
      <c r="K151" s="151">
        <f>SUM(K152:K155)+K158-K159</f>
        <v>0</v>
      </c>
      <c r="L151" s="152">
        <f t="shared" si="4"/>
        <v>0</v>
      </c>
    </row>
    <row r="152" spans="2:12" ht="14.25">
      <c r="B152" s="153">
        <v>161</v>
      </c>
      <c r="C152" s="457" t="s">
        <v>1550</v>
      </c>
      <c r="D152" s="458"/>
      <c r="E152" s="458"/>
      <c r="F152" s="458"/>
      <c r="G152" s="458"/>
      <c r="H152" s="458"/>
      <c r="I152" s="150">
        <v>134</v>
      </c>
      <c r="J152" s="154">
        <v>96928</v>
      </c>
      <c r="K152" s="155">
        <v>0</v>
      </c>
      <c r="L152" s="152">
        <f t="shared" si="4"/>
        <v>0</v>
      </c>
    </row>
    <row r="153" spans="2:12" ht="14.25">
      <c r="B153" s="153">
        <v>162</v>
      </c>
      <c r="C153" s="457" t="s">
        <v>1551</v>
      </c>
      <c r="D153" s="458"/>
      <c r="E153" s="458"/>
      <c r="F153" s="458"/>
      <c r="G153" s="458"/>
      <c r="H153" s="458"/>
      <c r="I153" s="150">
        <v>135</v>
      </c>
      <c r="J153" s="154">
        <v>0</v>
      </c>
      <c r="K153" s="155">
        <v>0</v>
      </c>
      <c r="L153" s="152" t="str">
        <f t="shared" si="4"/>
        <v>-</v>
      </c>
    </row>
    <row r="154" spans="2:12" ht="14.25">
      <c r="B154" s="153">
        <v>163</v>
      </c>
      <c r="C154" s="457" t="s">
        <v>1552</v>
      </c>
      <c r="D154" s="458"/>
      <c r="E154" s="458"/>
      <c r="F154" s="458"/>
      <c r="G154" s="458"/>
      <c r="H154" s="458"/>
      <c r="I154" s="150">
        <v>136</v>
      </c>
      <c r="J154" s="154">
        <v>0</v>
      </c>
      <c r="K154" s="155">
        <v>0</v>
      </c>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v>0</v>
      </c>
      <c r="K156" s="155">
        <v>0</v>
      </c>
      <c r="L156" s="152" t="str">
        <f t="shared" si="4"/>
        <v>-</v>
      </c>
    </row>
    <row r="157" spans="2:12" ht="14.25">
      <c r="B157" s="153">
        <v>1642</v>
      </c>
      <c r="C157" s="457" t="s">
        <v>1286</v>
      </c>
      <c r="D157" s="458"/>
      <c r="E157" s="458"/>
      <c r="F157" s="458"/>
      <c r="G157" s="458"/>
      <c r="H157" s="458"/>
      <c r="I157" s="150">
        <v>139</v>
      </c>
      <c r="J157" s="154">
        <v>0</v>
      </c>
      <c r="K157" s="155">
        <v>0</v>
      </c>
      <c r="L157" s="152" t="str">
        <f t="shared" si="4"/>
        <v>-</v>
      </c>
    </row>
    <row r="158" spans="2:12" ht="14.25">
      <c r="B158" s="153">
        <v>165</v>
      </c>
      <c r="C158" s="457" t="s">
        <v>2158</v>
      </c>
      <c r="D158" s="458"/>
      <c r="E158" s="458"/>
      <c r="F158" s="458"/>
      <c r="G158" s="458"/>
      <c r="H158" s="458"/>
      <c r="I158" s="150">
        <v>140</v>
      </c>
      <c r="J158" s="154">
        <v>0</v>
      </c>
      <c r="K158" s="155">
        <v>0</v>
      </c>
      <c r="L158" s="152" t="str">
        <f t="shared" si="4"/>
        <v>-</v>
      </c>
    </row>
    <row r="159" spans="2:12" ht="14.25">
      <c r="B159" s="153">
        <v>169</v>
      </c>
      <c r="C159" s="457" t="s">
        <v>1287</v>
      </c>
      <c r="D159" s="458"/>
      <c r="E159" s="458"/>
      <c r="F159" s="458"/>
      <c r="G159" s="458"/>
      <c r="H159" s="458"/>
      <c r="I159" s="150">
        <v>141</v>
      </c>
      <c r="J159" s="154">
        <v>0</v>
      </c>
      <c r="K159" s="155">
        <v>0</v>
      </c>
      <c r="L159" s="152" t="str">
        <f t="shared" si="4"/>
        <v>-</v>
      </c>
    </row>
    <row r="160" spans="2:12" ht="14.25">
      <c r="B160" s="153">
        <v>19</v>
      </c>
      <c r="C160" s="457" t="s">
        <v>1288</v>
      </c>
      <c r="D160" s="458"/>
      <c r="E160" s="458"/>
      <c r="F160" s="458"/>
      <c r="G160" s="458"/>
      <c r="H160" s="458"/>
      <c r="I160" s="150">
        <v>142</v>
      </c>
      <c r="J160" s="151">
        <f>SUM(J161:J162)</f>
        <v>0</v>
      </c>
      <c r="K160" s="151">
        <f>SUM(K161:K162)</f>
        <v>114062</v>
      </c>
      <c r="L160" s="152" t="str">
        <f t="shared" si="4"/>
        <v>-</v>
      </c>
    </row>
    <row r="161" spans="2:12" ht="14.25">
      <c r="B161" s="153">
        <v>191</v>
      </c>
      <c r="C161" s="457" t="s">
        <v>1289</v>
      </c>
      <c r="D161" s="458"/>
      <c r="E161" s="458"/>
      <c r="F161" s="458"/>
      <c r="G161" s="458"/>
      <c r="H161" s="458"/>
      <c r="I161" s="150">
        <v>143</v>
      </c>
      <c r="J161" s="154">
        <v>0</v>
      </c>
      <c r="K161" s="155">
        <v>0</v>
      </c>
      <c r="L161" s="152" t="str">
        <f t="shared" si="4"/>
        <v>-</v>
      </c>
    </row>
    <row r="162" spans="2:12" ht="14.25">
      <c r="B162" s="156">
        <v>192</v>
      </c>
      <c r="C162" s="466" t="s">
        <v>1290</v>
      </c>
      <c r="D162" s="467"/>
      <c r="E162" s="467"/>
      <c r="F162" s="467"/>
      <c r="G162" s="467"/>
      <c r="H162" s="467"/>
      <c r="I162" s="157">
        <v>144</v>
      </c>
      <c r="J162" s="158">
        <v>0</v>
      </c>
      <c r="K162" s="159">
        <v>114062</v>
      </c>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716083</v>
      </c>
      <c r="K164" s="148">
        <f>K165+K214</f>
        <v>446460</v>
      </c>
      <c r="L164" s="160">
        <f aca="true" t="shared" si="5" ref="L164:L195">IF(J164&gt;0,IF(K164/J164&gt;=100,"&gt;&gt;100",K164/J164*100),"-")</f>
        <v>62.347521167238995</v>
      </c>
    </row>
    <row r="165" spans="2:12" ht="14.25">
      <c r="B165" s="149">
        <v>2</v>
      </c>
      <c r="C165" s="459" t="s">
        <v>1292</v>
      </c>
      <c r="D165" s="460"/>
      <c r="E165" s="460"/>
      <c r="F165" s="460"/>
      <c r="G165" s="460"/>
      <c r="H165" s="460"/>
      <c r="I165" s="150">
        <v>146</v>
      </c>
      <c r="J165" s="151">
        <f>J166+J193+J201+J209</f>
        <v>449759</v>
      </c>
      <c r="K165" s="151">
        <f>K166+K193+K201+K209</f>
        <v>288626</v>
      </c>
      <c r="L165" s="161">
        <f t="shared" si="5"/>
        <v>64.17347957461664</v>
      </c>
    </row>
    <row r="166" spans="2:12" ht="14.25">
      <c r="B166" s="153">
        <v>24</v>
      </c>
      <c r="C166" s="457" t="s">
        <v>1293</v>
      </c>
      <c r="D166" s="458"/>
      <c r="E166" s="458"/>
      <c r="F166" s="458"/>
      <c r="G166" s="458"/>
      <c r="H166" s="458"/>
      <c r="I166" s="150">
        <v>147</v>
      </c>
      <c r="J166" s="151">
        <f>J167+J175+J183+J187+J188+J189</f>
        <v>131630</v>
      </c>
      <c r="K166" s="151">
        <f>K167+K175+K183+K187+K188+K189</f>
        <v>144774</v>
      </c>
      <c r="L166" s="161">
        <f t="shared" si="5"/>
        <v>109.98556560054699</v>
      </c>
    </row>
    <row r="167" spans="2:12" ht="14.25">
      <c r="B167" s="153">
        <v>241</v>
      </c>
      <c r="C167" s="457" t="s">
        <v>481</v>
      </c>
      <c r="D167" s="458"/>
      <c r="E167" s="458"/>
      <c r="F167" s="458"/>
      <c r="G167" s="458"/>
      <c r="H167" s="458"/>
      <c r="I167" s="150">
        <v>148</v>
      </c>
      <c r="J167" s="151">
        <f>SUM(J168:J174)</f>
        <v>106352</v>
      </c>
      <c r="K167" s="151">
        <f>SUM(K168:K174)</f>
        <v>133375</v>
      </c>
      <c r="L167" s="161">
        <f t="shared" si="5"/>
        <v>125.40901910636377</v>
      </c>
    </row>
    <row r="168" spans="2:12" ht="14.25">
      <c r="B168" s="153">
        <v>2411</v>
      </c>
      <c r="C168" s="457" t="s">
        <v>482</v>
      </c>
      <c r="D168" s="458"/>
      <c r="E168" s="458"/>
      <c r="F168" s="458"/>
      <c r="G168" s="458"/>
      <c r="H168" s="458"/>
      <c r="I168" s="150">
        <v>149</v>
      </c>
      <c r="J168" s="162">
        <v>70049</v>
      </c>
      <c r="K168" s="163">
        <v>87293</v>
      </c>
      <c r="L168" s="161">
        <f t="shared" si="5"/>
        <v>124.61705377664207</v>
      </c>
    </row>
    <row r="169" spans="2:12" ht="14.25">
      <c r="B169" s="153">
        <v>2412</v>
      </c>
      <c r="C169" s="457" t="s">
        <v>483</v>
      </c>
      <c r="D169" s="458"/>
      <c r="E169" s="458"/>
      <c r="F169" s="458"/>
      <c r="G169" s="458"/>
      <c r="H169" s="458"/>
      <c r="I169" s="150">
        <v>150</v>
      </c>
      <c r="J169" s="162">
        <v>0</v>
      </c>
      <c r="K169" s="163">
        <v>0</v>
      </c>
      <c r="L169" s="161" t="str">
        <f t="shared" si="5"/>
        <v>-</v>
      </c>
    </row>
    <row r="170" spans="2:12" ht="14.25">
      <c r="B170" s="153">
        <v>2413</v>
      </c>
      <c r="C170" s="457" t="s">
        <v>484</v>
      </c>
      <c r="D170" s="458"/>
      <c r="E170" s="458"/>
      <c r="F170" s="458"/>
      <c r="G170" s="458"/>
      <c r="H170" s="458"/>
      <c r="I170" s="150">
        <v>151</v>
      </c>
      <c r="J170" s="162">
        <v>0</v>
      </c>
      <c r="K170" s="163">
        <v>0</v>
      </c>
      <c r="L170" s="161" t="str">
        <f t="shared" si="5"/>
        <v>-</v>
      </c>
    </row>
    <row r="171" spans="2:12" ht="14.25">
      <c r="B171" s="153">
        <v>2414</v>
      </c>
      <c r="C171" s="457" t="s">
        <v>485</v>
      </c>
      <c r="D171" s="458"/>
      <c r="E171" s="458"/>
      <c r="F171" s="458"/>
      <c r="G171" s="458"/>
      <c r="H171" s="458"/>
      <c r="I171" s="150">
        <v>152</v>
      </c>
      <c r="J171" s="162">
        <v>2982</v>
      </c>
      <c r="K171" s="163">
        <v>4295</v>
      </c>
      <c r="L171" s="161">
        <f t="shared" si="5"/>
        <v>144.03085177733067</v>
      </c>
    </row>
    <row r="172" spans="2:12" ht="14.25">
      <c r="B172" s="153">
        <v>2415</v>
      </c>
      <c r="C172" s="457" t="s">
        <v>486</v>
      </c>
      <c r="D172" s="458"/>
      <c r="E172" s="458"/>
      <c r="F172" s="458"/>
      <c r="G172" s="458"/>
      <c r="H172" s="458"/>
      <c r="I172" s="150">
        <v>153</v>
      </c>
      <c r="J172" s="162">
        <v>18258</v>
      </c>
      <c r="K172" s="163">
        <v>22897</v>
      </c>
      <c r="L172" s="161">
        <f t="shared" si="5"/>
        <v>125.40804031109651</v>
      </c>
    </row>
    <row r="173" spans="2:12" ht="14.25">
      <c r="B173" s="153">
        <v>2416</v>
      </c>
      <c r="C173" s="457" t="s">
        <v>487</v>
      </c>
      <c r="D173" s="458"/>
      <c r="E173" s="458"/>
      <c r="F173" s="458"/>
      <c r="G173" s="458"/>
      <c r="H173" s="458"/>
      <c r="I173" s="150">
        <v>154</v>
      </c>
      <c r="J173" s="162">
        <v>15063</v>
      </c>
      <c r="K173" s="163">
        <v>18890</v>
      </c>
      <c r="L173" s="161">
        <f t="shared" si="5"/>
        <v>125.40662550620726</v>
      </c>
    </row>
    <row r="174" spans="2:12" ht="14.25">
      <c r="B174" s="153">
        <v>2417</v>
      </c>
      <c r="C174" s="457" t="s">
        <v>488</v>
      </c>
      <c r="D174" s="458"/>
      <c r="E174" s="458"/>
      <c r="F174" s="458"/>
      <c r="G174" s="458"/>
      <c r="H174" s="458"/>
      <c r="I174" s="150">
        <v>155</v>
      </c>
      <c r="J174" s="162">
        <v>0</v>
      </c>
      <c r="K174" s="163">
        <v>0</v>
      </c>
      <c r="L174" s="161" t="str">
        <f t="shared" si="5"/>
        <v>-</v>
      </c>
    </row>
    <row r="175" spans="2:12" ht="14.25">
      <c r="B175" s="153">
        <v>242</v>
      </c>
      <c r="C175" s="457" t="s">
        <v>489</v>
      </c>
      <c r="D175" s="458"/>
      <c r="E175" s="458"/>
      <c r="F175" s="458"/>
      <c r="G175" s="458"/>
      <c r="H175" s="458"/>
      <c r="I175" s="150">
        <v>156</v>
      </c>
      <c r="J175" s="151">
        <f>SUM(J176:J182)</f>
        <v>25278</v>
      </c>
      <c r="K175" s="151">
        <f>SUM(K176:K182)</f>
        <v>11399</v>
      </c>
      <c r="L175" s="161">
        <f t="shared" si="5"/>
        <v>45.0945486193528</v>
      </c>
    </row>
    <row r="176" spans="2:12" ht="14.25">
      <c r="B176" s="153">
        <v>2421</v>
      </c>
      <c r="C176" s="457" t="s">
        <v>490</v>
      </c>
      <c r="D176" s="458"/>
      <c r="E176" s="458"/>
      <c r="F176" s="458"/>
      <c r="G176" s="458"/>
      <c r="H176" s="458"/>
      <c r="I176" s="150">
        <v>157</v>
      </c>
      <c r="J176" s="162">
        <v>4192</v>
      </c>
      <c r="K176" s="163">
        <v>5580</v>
      </c>
      <c r="L176" s="161">
        <f t="shared" si="5"/>
        <v>133.11068702290078</v>
      </c>
    </row>
    <row r="177" spans="2:12" ht="14.25">
      <c r="B177" s="153">
        <v>2422</v>
      </c>
      <c r="C177" s="457" t="s">
        <v>491</v>
      </c>
      <c r="D177" s="458"/>
      <c r="E177" s="458"/>
      <c r="F177" s="458"/>
      <c r="G177" s="458"/>
      <c r="H177" s="458"/>
      <c r="I177" s="150">
        <v>158</v>
      </c>
      <c r="J177" s="162">
        <v>0</v>
      </c>
      <c r="K177" s="163">
        <v>0</v>
      </c>
      <c r="L177" s="161" t="str">
        <f t="shared" si="5"/>
        <v>-</v>
      </c>
    </row>
    <row r="178" spans="2:12" ht="14.25">
      <c r="B178" s="153">
        <v>2423</v>
      </c>
      <c r="C178" s="457" t="s">
        <v>1333</v>
      </c>
      <c r="D178" s="458"/>
      <c r="E178" s="458"/>
      <c r="F178" s="458"/>
      <c r="G178" s="458"/>
      <c r="H178" s="458"/>
      <c r="I178" s="150">
        <v>159</v>
      </c>
      <c r="J178" s="162">
        <v>1536</v>
      </c>
      <c r="K178" s="163">
        <v>1536</v>
      </c>
      <c r="L178" s="161">
        <f t="shared" si="5"/>
        <v>100</v>
      </c>
    </row>
    <row r="179" spans="2:12" ht="14.25">
      <c r="B179" s="153">
        <v>2424</v>
      </c>
      <c r="C179" s="457" t="s">
        <v>1334</v>
      </c>
      <c r="D179" s="458"/>
      <c r="E179" s="458"/>
      <c r="F179" s="458"/>
      <c r="G179" s="458"/>
      <c r="H179" s="458"/>
      <c r="I179" s="150">
        <v>160</v>
      </c>
      <c r="J179" s="162">
        <v>0</v>
      </c>
      <c r="K179" s="163">
        <v>0</v>
      </c>
      <c r="L179" s="161" t="str">
        <f t="shared" si="5"/>
        <v>-</v>
      </c>
    </row>
    <row r="180" spans="2:12" ht="14.25">
      <c r="B180" s="153">
        <v>2425</v>
      </c>
      <c r="C180" s="457" t="s">
        <v>492</v>
      </c>
      <c r="D180" s="458"/>
      <c r="E180" s="458"/>
      <c r="F180" s="458"/>
      <c r="G180" s="458"/>
      <c r="H180" s="458"/>
      <c r="I180" s="150">
        <v>161</v>
      </c>
      <c r="J180" s="162">
        <v>19550</v>
      </c>
      <c r="K180" s="163">
        <v>4283</v>
      </c>
      <c r="L180" s="161">
        <f t="shared" si="5"/>
        <v>21.907928388746804</v>
      </c>
    </row>
    <row r="181" spans="2:12" ht="14.25">
      <c r="B181" s="153">
        <v>2426</v>
      </c>
      <c r="C181" s="457" t="s">
        <v>493</v>
      </c>
      <c r="D181" s="458"/>
      <c r="E181" s="458"/>
      <c r="F181" s="458"/>
      <c r="G181" s="458"/>
      <c r="H181" s="458"/>
      <c r="I181" s="150">
        <v>162</v>
      </c>
      <c r="J181" s="162">
        <v>0</v>
      </c>
      <c r="K181" s="163">
        <v>0</v>
      </c>
      <c r="L181" s="161" t="str">
        <f t="shared" si="5"/>
        <v>-</v>
      </c>
    </row>
    <row r="182" spans="2:12" ht="14.25">
      <c r="B182" s="153">
        <v>2429</v>
      </c>
      <c r="C182" s="457" t="s">
        <v>494</v>
      </c>
      <c r="D182" s="458"/>
      <c r="E182" s="458"/>
      <c r="F182" s="458"/>
      <c r="G182" s="458"/>
      <c r="H182" s="458"/>
      <c r="I182" s="150">
        <v>163</v>
      </c>
      <c r="J182" s="162">
        <v>0</v>
      </c>
      <c r="K182" s="163">
        <v>0</v>
      </c>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v>0</v>
      </c>
      <c r="K184" s="163">
        <v>0</v>
      </c>
      <c r="L184" s="161" t="str">
        <f t="shared" si="5"/>
        <v>-</v>
      </c>
    </row>
    <row r="185" spans="2:12" ht="14.25">
      <c r="B185" s="153">
        <v>2442</v>
      </c>
      <c r="C185" s="457" t="s">
        <v>497</v>
      </c>
      <c r="D185" s="458"/>
      <c r="E185" s="458"/>
      <c r="F185" s="458"/>
      <c r="G185" s="458"/>
      <c r="H185" s="458"/>
      <c r="I185" s="150">
        <v>166</v>
      </c>
      <c r="J185" s="162">
        <v>0</v>
      </c>
      <c r="K185" s="163">
        <v>0</v>
      </c>
      <c r="L185" s="161" t="str">
        <f t="shared" si="5"/>
        <v>-</v>
      </c>
    </row>
    <row r="186" spans="2:12" ht="14.25">
      <c r="B186" s="153">
        <v>2443</v>
      </c>
      <c r="C186" s="457" t="s">
        <v>498</v>
      </c>
      <c r="D186" s="458"/>
      <c r="E186" s="458"/>
      <c r="F186" s="458"/>
      <c r="G186" s="458"/>
      <c r="H186" s="458"/>
      <c r="I186" s="150">
        <v>167</v>
      </c>
      <c r="J186" s="162">
        <v>0</v>
      </c>
      <c r="K186" s="163">
        <v>0</v>
      </c>
      <c r="L186" s="161" t="str">
        <f t="shared" si="5"/>
        <v>-</v>
      </c>
    </row>
    <row r="187" spans="2:12" ht="14.25">
      <c r="B187" s="153">
        <v>245</v>
      </c>
      <c r="C187" s="457" t="s">
        <v>499</v>
      </c>
      <c r="D187" s="458"/>
      <c r="E187" s="458"/>
      <c r="F187" s="458"/>
      <c r="G187" s="458"/>
      <c r="H187" s="458"/>
      <c r="I187" s="150">
        <v>168</v>
      </c>
      <c r="J187" s="162">
        <v>0</v>
      </c>
      <c r="K187" s="163">
        <v>0</v>
      </c>
      <c r="L187" s="161" t="str">
        <f t="shared" si="5"/>
        <v>-</v>
      </c>
    </row>
    <row r="188" spans="2:12" ht="14.25">
      <c r="B188" s="153">
        <v>246</v>
      </c>
      <c r="C188" s="457" t="s">
        <v>1521</v>
      </c>
      <c r="D188" s="458"/>
      <c r="E188" s="458"/>
      <c r="F188" s="458"/>
      <c r="G188" s="458"/>
      <c r="H188" s="458"/>
      <c r="I188" s="150">
        <v>169</v>
      </c>
      <c r="J188" s="162">
        <v>0</v>
      </c>
      <c r="K188" s="163">
        <v>0</v>
      </c>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v>0</v>
      </c>
      <c r="K190" s="163">
        <v>0</v>
      </c>
      <c r="L190" s="161" t="str">
        <f t="shared" si="5"/>
        <v>-</v>
      </c>
    </row>
    <row r="191" spans="2:12" ht="14.25">
      <c r="B191" s="153">
        <v>2492</v>
      </c>
      <c r="C191" s="457" t="s">
        <v>401</v>
      </c>
      <c r="D191" s="458"/>
      <c r="E191" s="458"/>
      <c r="F191" s="458"/>
      <c r="G191" s="458"/>
      <c r="H191" s="458"/>
      <c r="I191" s="150">
        <v>172</v>
      </c>
      <c r="J191" s="162">
        <v>0</v>
      </c>
      <c r="K191" s="163">
        <v>0</v>
      </c>
      <c r="L191" s="161" t="str">
        <f t="shared" si="5"/>
        <v>-</v>
      </c>
    </row>
    <row r="192" spans="2:12" ht="14.25">
      <c r="B192" s="153">
        <v>2493</v>
      </c>
      <c r="C192" s="469" t="s">
        <v>710</v>
      </c>
      <c r="D192" s="470"/>
      <c r="E192" s="470"/>
      <c r="F192" s="470"/>
      <c r="G192" s="470"/>
      <c r="H192" s="470"/>
      <c r="I192" s="150">
        <v>173</v>
      </c>
      <c r="J192" s="162">
        <v>0</v>
      </c>
      <c r="K192" s="163">
        <v>0</v>
      </c>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v>0</v>
      </c>
      <c r="K195" s="163">
        <v>0</v>
      </c>
      <c r="L195" s="161" t="str">
        <f t="shared" si="5"/>
        <v>-</v>
      </c>
    </row>
    <row r="196" spans="2:12" ht="14.25">
      <c r="B196" s="153">
        <v>2512</v>
      </c>
      <c r="C196" s="457" t="s">
        <v>714</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v>0</v>
      </c>
      <c r="K198" s="163">
        <v>0</v>
      </c>
      <c r="L198" s="161" t="str">
        <f t="shared" si="6"/>
        <v>-</v>
      </c>
    </row>
    <row r="199" spans="2:12" ht="14.25">
      <c r="B199" s="153">
        <v>2522</v>
      </c>
      <c r="C199" s="457" t="s">
        <v>717</v>
      </c>
      <c r="D199" s="458"/>
      <c r="E199" s="458"/>
      <c r="F199" s="458"/>
      <c r="G199" s="458"/>
      <c r="H199" s="458"/>
      <c r="I199" s="150">
        <v>180</v>
      </c>
      <c r="J199" s="162">
        <v>0</v>
      </c>
      <c r="K199" s="163">
        <v>0</v>
      </c>
      <c r="L199" s="161" t="str">
        <f t="shared" si="6"/>
        <v>-</v>
      </c>
    </row>
    <row r="200" spans="2:12" ht="14.25">
      <c r="B200" s="153">
        <v>259</v>
      </c>
      <c r="C200" s="457" t="s">
        <v>718</v>
      </c>
      <c r="D200" s="458"/>
      <c r="E200" s="458"/>
      <c r="F200" s="458"/>
      <c r="G200" s="458"/>
      <c r="H200" s="458"/>
      <c r="I200" s="150">
        <v>181</v>
      </c>
      <c r="J200" s="162">
        <v>0</v>
      </c>
      <c r="K200" s="163">
        <v>0</v>
      </c>
      <c r="L200" s="161" t="str">
        <f t="shared" si="6"/>
        <v>-</v>
      </c>
    </row>
    <row r="201" spans="2:12" ht="14.25">
      <c r="B201" s="153">
        <v>26</v>
      </c>
      <c r="C201" s="457" t="s">
        <v>719</v>
      </c>
      <c r="D201" s="458"/>
      <c r="E201" s="458"/>
      <c r="F201" s="458"/>
      <c r="G201" s="458"/>
      <c r="H201" s="458"/>
      <c r="I201" s="150">
        <v>182</v>
      </c>
      <c r="J201" s="151">
        <f>J202+J205-J208</f>
        <v>72288</v>
      </c>
      <c r="K201" s="151">
        <f>K202+K205-K208</f>
        <v>38323</v>
      </c>
      <c r="L201" s="161">
        <f t="shared" si="6"/>
        <v>53.01433156263834</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v>0</v>
      </c>
      <c r="K203" s="163">
        <v>0</v>
      </c>
      <c r="L203" s="161" t="str">
        <f t="shared" si="6"/>
        <v>-</v>
      </c>
    </row>
    <row r="204" spans="2:12" ht="14.25">
      <c r="B204" s="153">
        <v>2612</v>
      </c>
      <c r="C204" s="457" t="s">
        <v>722</v>
      </c>
      <c r="D204" s="458"/>
      <c r="E204" s="458"/>
      <c r="F204" s="458"/>
      <c r="G204" s="458"/>
      <c r="H204" s="458"/>
      <c r="I204" s="150">
        <v>185</v>
      </c>
      <c r="J204" s="162">
        <v>0</v>
      </c>
      <c r="K204" s="163">
        <v>0</v>
      </c>
      <c r="L204" s="161" t="str">
        <f t="shared" si="6"/>
        <v>-</v>
      </c>
    </row>
    <row r="205" spans="2:12" ht="14.25">
      <c r="B205" s="153">
        <v>262</v>
      </c>
      <c r="C205" s="457" t="s">
        <v>723</v>
      </c>
      <c r="D205" s="458"/>
      <c r="E205" s="458"/>
      <c r="F205" s="458"/>
      <c r="G205" s="458"/>
      <c r="H205" s="458"/>
      <c r="I205" s="150">
        <v>186</v>
      </c>
      <c r="J205" s="151">
        <f>SUM(J206:J207)</f>
        <v>72288</v>
      </c>
      <c r="K205" s="151">
        <f>SUM(K206:K207)</f>
        <v>38323</v>
      </c>
      <c r="L205" s="161">
        <f t="shared" si="6"/>
        <v>53.01433156263834</v>
      </c>
    </row>
    <row r="206" spans="2:12" ht="14.25">
      <c r="B206" s="153">
        <v>2621</v>
      </c>
      <c r="C206" s="457" t="s">
        <v>724</v>
      </c>
      <c r="D206" s="458"/>
      <c r="E206" s="458"/>
      <c r="F206" s="458"/>
      <c r="G206" s="458"/>
      <c r="H206" s="458"/>
      <c r="I206" s="150">
        <v>187</v>
      </c>
      <c r="J206" s="162">
        <v>72288</v>
      </c>
      <c r="K206" s="163">
        <v>38323</v>
      </c>
      <c r="L206" s="161">
        <f t="shared" si="6"/>
        <v>53.01433156263834</v>
      </c>
    </row>
    <row r="207" spans="2:12" ht="14.25">
      <c r="B207" s="153">
        <v>2622</v>
      </c>
      <c r="C207" s="457" t="s">
        <v>725</v>
      </c>
      <c r="D207" s="458"/>
      <c r="E207" s="458"/>
      <c r="F207" s="458"/>
      <c r="G207" s="458"/>
      <c r="H207" s="458"/>
      <c r="I207" s="150">
        <v>188</v>
      </c>
      <c r="J207" s="162">
        <v>0</v>
      </c>
      <c r="K207" s="163">
        <v>0</v>
      </c>
      <c r="L207" s="161" t="str">
        <f t="shared" si="6"/>
        <v>-</v>
      </c>
    </row>
    <row r="208" spans="2:12" ht="14.25">
      <c r="B208" s="153">
        <v>269</v>
      </c>
      <c r="C208" s="457" t="s">
        <v>726</v>
      </c>
      <c r="D208" s="458"/>
      <c r="E208" s="458"/>
      <c r="F208" s="458"/>
      <c r="G208" s="458"/>
      <c r="H208" s="458"/>
      <c r="I208" s="150">
        <v>189</v>
      </c>
      <c r="J208" s="162">
        <v>0</v>
      </c>
      <c r="K208" s="163">
        <v>0</v>
      </c>
      <c r="L208" s="161" t="str">
        <f t="shared" si="6"/>
        <v>-</v>
      </c>
    </row>
    <row r="209" spans="2:12" ht="14.25">
      <c r="B209" s="153">
        <v>29</v>
      </c>
      <c r="C209" s="457" t="s">
        <v>1522</v>
      </c>
      <c r="D209" s="458"/>
      <c r="E209" s="458"/>
      <c r="F209" s="458"/>
      <c r="G209" s="458"/>
      <c r="H209" s="458"/>
      <c r="I209" s="150">
        <v>190</v>
      </c>
      <c r="J209" s="151">
        <f>SUM(J210:J211)</f>
        <v>245841</v>
      </c>
      <c r="K209" s="151">
        <f>SUM(K210:K211)</f>
        <v>105529</v>
      </c>
      <c r="L209" s="161">
        <f t="shared" si="6"/>
        <v>42.925712147282184</v>
      </c>
    </row>
    <row r="210" spans="2:12" ht="14.25">
      <c r="B210" s="153">
        <v>291</v>
      </c>
      <c r="C210" s="457" t="s">
        <v>1523</v>
      </c>
      <c r="D210" s="458"/>
      <c r="E210" s="458"/>
      <c r="F210" s="458"/>
      <c r="G210" s="458"/>
      <c r="H210" s="458"/>
      <c r="I210" s="150">
        <v>191</v>
      </c>
      <c r="J210" s="162">
        <v>715</v>
      </c>
      <c r="K210" s="163">
        <v>55</v>
      </c>
      <c r="L210" s="161">
        <f t="shared" si="6"/>
        <v>7.6923076923076925</v>
      </c>
    </row>
    <row r="211" spans="2:12" ht="14.25">
      <c r="B211" s="153">
        <v>292</v>
      </c>
      <c r="C211" s="457" t="s">
        <v>1524</v>
      </c>
      <c r="D211" s="458"/>
      <c r="E211" s="458"/>
      <c r="F211" s="458"/>
      <c r="G211" s="458"/>
      <c r="H211" s="458"/>
      <c r="I211" s="150">
        <v>192</v>
      </c>
      <c r="J211" s="151">
        <f>SUM(J212:J213)</f>
        <v>245126</v>
      </c>
      <c r="K211" s="151">
        <f>SUM(K212:K213)</f>
        <v>105474</v>
      </c>
      <c r="L211" s="161">
        <f t="shared" si="6"/>
        <v>43.02848331062392</v>
      </c>
    </row>
    <row r="212" spans="2:12" ht="14.25">
      <c r="B212" s="153">
        <v>2921</v>
      </c>
      <c r="C212" s="457" t="s">
        <v>1525</v>
      </c>
      <c r="D212" s="458"/>
      <c r="E212" s="458"/>
      <c r="F212" s="458"/>
      <c r="G212" s="458"/>
      <c r="H212" s="458"/>
      <c r="I212" s="150">
        <v>193</v>
      </c>
      <c r="J212" s="162">
        <v>0</v>
      </c>
      <c r="K212" s="163">
        <v>0</v>
      </c>
      <c r="L212" s="161" t="str">
        <f t="shared" si="6"/>
        <v>-</v>
      </c>
    </row>
    <row r="213" spans="2:12" ht="14.25">
      <c r="B213" s="153">
        <v>2922</v>
      </c>
      <c r="C213" s="457" t="s">
        <v>1526</v>
      </c>
      <c r="D213" s="458"/>
      <c r="E213" s="458"/>
      <c r="F213" s="458"/>
      <c r="G213" s="458"/>
      <c r="H213" s="458"/>
      <c r="I213" s="150">
        <v>194</v>
      </c>
      <c r="J213" s="162">
        <v>245126</v>
      </c>
      <c r="K213" s="163">
        <v>105474</v>
      </c>
      <c r="L213" s="161">
        <f t="shared" si="6"/>
        <v>43.02848331062392</v>
      </c>
    </row>
    <row r="214" spans="2:12" ht="14.25">
      <c r="B214" s="149">
        <v>5</v>
      </c>
      <c r="C214" s="459" t="s">
        <v>1527</v>
      </c>
      <c r="D214" s="460"/>
      <c r="E214" s="460"/>
      <c r="F214" s="460"/>
      <c r="G214" s="460"/>
      <c r="H214" s="460"/>
      <c r="I214" s="150">
        <v>195</v>
      </c>
      <c r="J214" s="151">
        <f>J215+J218-J219</f>
        <v>266324</v>
      </c>
      <c r="K214" s="151">
        <f>K215+K218-K219</f>
        <v>157834</v>
      </c>
      <c r="L214" s="161">
        <f t="shared" si="6"/>
        <v>59.26390411679008</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v>0</v>
      </c>
      <c r="K216" s="163">
        <v>0</v>
      </c>
      <c r="L216" s="161" t="str">
        <f t="shared" si="6"/>
        <v>-</v>
      </c>
    </row>
    <row r="217" spans="2:12" ht="14.25">
      <c r="B217" s="153">
        <v>512</v>
      </c>
      <c r="C217" s="457" t="s">
        <v>1530</v>
      </c>
      <c r="D217" s="458"/>
      <c r="E217" s="458"/>
      <c r="F217" s="458"/>
      <c r="G217" s="458"/>
      <c r="H217" s="458"/>
      <c r="I217" s="150">
        <v>198</v>
      </c>
      <c r="J217" s="162">
        <v>0</v>
      </c>
      <c r="K217" s="163">
        <v>0</v>
      </c>
      <c r="L217" s="161" t="str">
        <f t="shared" si="6"/>
        <v>-</v>
      </c>
    </row>
    <row r="218" spans="2:12" ht="14.25">
      <c r="B218" s="153">
        <v>5221</v>
      </c>
      <c r="C218" s="457" t="s">
        <v>1531</v>
      </c>
      <c r="D218" s="458"/>
      <c r="E218" s="458"/>
      <c r="F218" s="458"/>
      <c r="G218" s="458"/>
      <c r="H218" s="458"/>
      <c r="I218" s="150">
        <v>199</v>
      </c>
      <c r="J218" s="162">
        <v>266324</v>
      </c>
      <c r="K218" s="163">
        <v>157834</v>
      </c>
      <c r="L218" s="161">
        <f t="shared" si="6"/>
        <v>59.26390411679008</v>
      </c>
    </row>
    <row r="219" spans="2:12" ht="14.25">
      <c r="B219" s="156">
        <v>5222</v>
      </c>
      <c r="C219" s="466" t="s">
        <v>1532</v>
      </c>
      <c r="D219" s="467"/>
      <c r="E219" s="467"/>
      <c r="F219" s="467"/>
      <c r="G219" s="467"/>
      <c r="H219" s="467"/>
      <c r="I219" s="157">
        <v>200</v>
      </c>
      <c r="J219" s="164">
        <v>0</v>
      </c>
      <c r="K219" s="165">
        <v>0</v>
      </c>
      <c r="L219" s="166" t="str">
        <f t="shared" si="6"/>
        <v>-</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v>0</v>
      </c>
      <c r="K221" s="169">
        <v>400000</v>
      </c>
      <c r="L221" s="134" t="str">
        <f>IF(J221&gt;0,IF(K221/J221&gt;=100,"&gt;&gt;100",K221/J221*100),"-")</f>
        <v>-</v>
      </c>
    </row>
    <row r="222" spans="2:12" ht="14.25">
      <c r="B222" s="156">
        <v>62</v>
      </c>
      <c r="C222" s="466" t="s">
        <v>1535</v>
      </c>
      <c r="D222" s="467"/>
      <c r="E222" s="467"/>
      <c r="F222" s="467"/>
      <c r="G222" s="467"/>
      <c r="H222" s="467"/>
      <c r="I222" s="157">
        <v>202</v>
      </c>
      <c r="J222" s="170">
        <v>0</v>
      </c>
      <c r="K222" s="170">
        <v>400000</v>
      </c>
      <c r="L222" s="135" t="str">
        <f>IF(J222&gt;0,IF(K222/J222&gt;=100,"&gt;&gt;100",K222/J222*100),"-")</f>
        <v>-</v>
      </c>
    </row>
    <row r="223" ht="14.25"/>
    <row r="224" spans="2:12" ht="14.25">
      <c r="B224" s="425"/>
      <c r="C224" s="425"/>
      <c r="D224" s="425"/>
      <c r="E224" s="426"/>
      <c r="F224" s="426"/>
      <c r="G224" s="426"/>
      <c r="H224" s="426"/>
      <c r="I224" s="119"/>
      <c r="J224" s="427" t="s">
        <v>2355</v>
      </c>
      <c r="K224" s="427"/>
      <c r="L224" s="427"/>
    </row>
    <row r="225" spans="2:12" ht="14.25">
      <c r="B225" s="105"/>
      <c r="C225" s="105"/>
      <c r="D225" s="105"/>
      <c r="E225" s="104"/>
      <c r="F225" s="104"/>
      <c r="G225" s="104"/>
      <c r="H225" s="104"/>
      <c r="I225" s="104"/>
      <c r="J225" s="104"/>
      <c r="K225" s="106"/>
      <c r="L225" s="104"/>
    </row>
    <row r="226" spans="2:12" ht="15" thickBot="1">
      <c r="B226" s="171" t="s">
        <v>1670</v>
      </c>
      <c r="C226" s="171"/>
      <c r="D226" s="453" t="str">
        <f>IF(RefStr!O4=1,IF(RefStr!D39&lt;&gt;"",RefStr!D39,""),"")</f>
        <v>RADMILA BERIĆ</v>
      </c>
      <c r="E226" s="453"/>
      <c r="F226" s="453"/>
      <c r="G226" s="453"/>
      <c r="H226" s="453"/>
      <c r="I226" s="173"/>
      <c r="J226" s="415"/>
      <c r="K226" s="415"/>
      <c r="L226" s="415"/>
    </row>
    <row r="227" spans="2:12" ht="15" thickBot="1">
      <c r="B227" s="386" t="s">
        <v>1671</v>
      </c>
      <c r="C227" s="386"/>
      <c r="D227" s="175" t="str">
        <f>IF(RefStr!O4=1,IF(RefStr!D41&lt;&gt;"",RefStr!D41,""),"")</f>
        <v>31.12.2022</v>
      </c>
      <c r="E227" s="176"/>
      <c r="F227" s="176"/>
      <c r="G227" s="176"/>
      <c r="H227" s="177"/>
      <c r="I227" s="178"/>
      <c r="J227" s="178"/>
      <c r="K227" s="179"/>
      <c r="L227" s="178"/>
    </row>
    <row r="228" spans="2:12" ht="15" thickBot="1">
      <c r="B228" s="398" t="s">
        <v>429</v>
      </c>
      <c r="C228" s="398"/>
      <c r="D228" s="453" t="str">
        <f>IF(RefStr!O4=1,IF(RefStr!D43&lt;&gt;"",RefStr!D43,""),"")</f>
        <v>Ivana Đuretić</v>
      </c>
      <c r="E228" s="453"/>
      <c r="F228" s="453"/>
      <c r="G228" s="453"/>
      <c r="H228" s="171"/>
      <c r="I228" s="171"/>
      <c r="J228" s="171"/>
      <c r="K228" s="171"/>
      <c r="L228" s="171"/>
    </row>
    <row r="229" spans="2:12" ht="15" thickBot="1">
      <c r="B229" s="386" t="s">
        <v>430</v>
      </c>
      <c r="C229" s="386"/>
      <c r="D229" s="451" t="str">
        <f>IF(RefStr!O4=1,IF(RefStr!D45&lt;&gt;"",RefStr!D45,""),"")</f>
        <v>0915445500</v>
      </c>
      <c r="E229" s="451"/>
      <c r="F229" s="171"/>
      <c r="G229" s="180"/>
      <c r="H229" s="180"/>
      <c r="I229" s="180"/>
      <c r="J229" s="180"/>
      <c r="K229" s="180"/>
      <c r="L229" s="180"/>
    </row>
    <row r="230" spans="2:12" ht="15" thickBot="1">
      <c r="B230" s="386" t="s">
        <v>2734</v>
      </c>
      <c r="C230" s="386"/>
      <c r="D230" s="452" t="str">
        <f>IF(RefStr!O4=1,IF(RefStr!D47&lt;&gt;"",RefStr!D47,""),"")</f>
        <v>-</v>
      </c>
      <c r="E230" s="452"/>
      <c r="F230" s="181"/>
      <c r="G230" s="181"/>
      <c r="H230" s="181"/>
      <c r="I230" s="181"/>
      <c r="J230" s="181"/>
      <c r="K230" s="180"/>
      <c r="L230" s="180"/>
    </row>
    <row r="231" spans="2:12" ht="15" thickBot="1">
      <c r="B231" s="386" t="s">
        <v>431</v>
      </c>
      <c r="C231" s="386"/>
      <c r="D231" s="431" t="str">
        <f>IF(RefStr!O4=1,IF(RefStr!D49&lt;&gt;"",RefStr!D49,""),"")</f>
        <v>ivana.irissavjetovanje@gmail.com</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C98:H98"/>
    <mergeCell ref="C16:H16"/>
    <mergeCell ref="C17:H17"/>
    <mergeCell ref="B18:L18"/>
    <mergeCell ref="B8:C8"/>
    <mergeCell ref="C121:H121"/>
    <mergeCell ref="C117:H117"/>
    <mergeCell ref="C115:H115"/>
    <mergeCell ref="C116:H116"/>
    <mergeCell ref="C119:H119"/>
    <mergeCell ref="C120:H120"/>
    <mergeCell ref="C159:H159"/>
    <mergeCell ref="C157:H157"/>
    <mergeCell ref="C156:H156"/>
    <mergeCell ref="C162:H162"/>
    <mergeCell ref="C154:H154"/>
    <mergeCell ref="B9:C9"/>
    <mergeCell ref="D9:L9"/>
    <mergeCell ref="C126:H126"/>
    <mergeCell ref="K12:L12"/>
    <mergeCell ref="B11:C11"/>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00:H100"/>
    <mergeCell ref="C123:H123"/>
    <mergeCell ref="C122:H122"/>
    <mergeCell ref="C174:H174"/>
    <mergeCell ref="C170:H170"/>
    <mergeCell ref="C173:H173"/>
    <mergeCell ref="C172:H172"/>
    <mergeCell ref="C165:H165"/>
    <mergeCell ref="C171:H171"/>
    <mergeCell ref="C144:H144"/>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Ivana</cp:lastModifiedBy>
  <cp:lastPrinted>2019-01-14T12:51:57Z</cp:lastPrinted>
  <dcterms:created xsi:type="dcterms:W3CDTF">2023-02-27T13:40:08Z</dcterms:created>
  <dcterms:modified xsi:type="dcterms:W3CDTF">2023-02-27T13:44:19Z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